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5" yWindow="75" windowWidth="15375" windowHeight="12315"/>
  </bookViews>
  <sheets>
    <sheet name="Приложение № 1" sheetId="1" r:id="rId1"/>
  </sheets>
  <externalReferences>
    <externalReference r:id="rId2"/>
  </externalReferences>
  <definedNames>
    <definedName name="_xlnm.Print_Titles" localSheetId="0">'Приложение № 1'!$5:$8</definedName>
    <definedName name="_xlnm.Print_Area" localSheetId="0">'Приложение № 1'!$A$1:$I$86</definedName>
  </definedNames>
  <calcPr calcId="125725"/>
</workbook>
</file>

<file path=xl/calcChain.xml><?xml version="1.0" encoding="utf-8"?>
<calcChain xmlns="http://schemas.openxmlformats.org/spreadsheetml/2006/main">
  <c r="F84" i="1"/>
  <c r="I72"/>
  <c r="I13"/>
  <c r="F78"/>
  <c r="G68"/>
  <c r="F68"/>
  <c r="F48"/>
  <c r="G48"/>
  <c r="F44"/>
  <c r="F43"/>
  <c r="F42" s="1"/>
  <c r="F37"/>
  <c r="H13"/>
  <c r="G13"/>
  <c r="F66"/>
  <c r="F56"/>
  <c r="F53"/>
  <c r="F50"/>
  <c r="F47"/>
  <c r="F46"/>
  <c r="F45"/>
  <c r="F41"/>
  <c r="F35"/>
  <c r="F33"/>
  <c r="F32"/>
  <c r="F29"/>
  <c r="F28"/>
  <c r="F27"/>
  <c r="F26"/>
  <c r="F23"/>
  <c r="F21"/>
  <c r="F20"/>
  <c r="F19"/>
  <c r="F18"/>
  <c r="F17"/>
  <c r="F15"/>
  <c r="H15" l="1"/>
  <c r="H75"/>
  <c r="H76"/>
  <c r="H77"/>
  <c r="H74"/>
  <c r="H66"/>
  <c r="H57"/>
  <c r="H58"/>
  <c r="H59"/>
  <c r="H60"/>
  <c r="H56"/>
  <c r="H53"/>
  <c r="H50"/>
  <c r="H46"/>
  <c r="H47"/>
  <c r="H45"/>
  <c r="H41"/>
  <c r="H36"/>
  <c r="H37"/>
  <c r="H38"/>
  <c r="H35"/>
  <c r="H33"/>
  <c r="H32"/>
  <c r="H26"/>
  <c r="H27"/>
  <c r="H28"/>
  <c r="H29"/>
  <c r="H17"/>
  <c r="H18"/>
  <c r="H19"/>
  <c r="H20"/>
  <c r="H21"/>
  <c r="H22"/>
  <c r="H23"/>
  <c r="H14"/>
  <c r="H78"/>
  <c r="E18"/>
  <c r="E77"/>
  <c r="E76"/>
  <c r="E74"/>
  <c r="E66"/>
  <c r="E56"/>
  <c r="E53"/>
  <c r="E50"/>
  <c r="E47"/>
  <c r="E46"/>
  <c r="E44" s="1"/>
  <c r="E43" s="1"/>
  <c r="E45"/>
  <c r="E38"/>
  <c r="E37"/>
  <c r="E36"/>
  <c r="E35"/>
  <c r="E33"/>
  <c r="E32"/>
  <c r="E29"/>
  <c r="E28"/>
  <c r="E27"/>
  <c r="E26"/>
  <c r="E23"/>
  <c r="E22"/>
  <c r="E21"/>
  <c r="E20"/>
  <c r="E19"/>
  <c r="E17"/>
  <c r="E15"/>
  <c r="E14"/>
  <c r="E83"/>
  <c r="E80"/>
  <c r="E79" s="1"/>
  <c r="E75"/>
  <c r="E71"/>
  <c r="E70"/>
  <c r="E64"/>
  <c r="E63" s="1"/>
  <c r="E55"/>
  <c r="E54" s="1"/>
  <c r="E52"/>
  <c r="E51" s="1"/>
  <c r="E48"/>
  <c r="E41"/>
  <c r="E40" s="1"/>
  <c r="E39" s="1"/>
  <c r="E25"/>
  <c r="E24" s="1"/>
  <c r="E13" l="1"/>
  <c r="E12" s="1"/>
  <c r="E11" s="1"/>
  <c r="E31"/>
  <c r="E68"/>
  <c r="E67" s="1"/>
  <c r="E34"/>
  <c r="E30" s="1"/>
  <c r="E42"/>
  <c r="E10" l="1"/>
  <c r="E9" s="1"/>
  <c r="E84"/>
  <c r="E85" s="1"/>
  <c r="G25" l="1"/>
  <c r="G24" s="1"/>
  <c r="F83"/>
  <c r="H83" s="1"/>
  <c r="F13" l="1"/>
  <c r="G34" l="1"/>
  <c r="C37"/>
  <c r="D68"/>
  <c r="C68"/>
  <c r="C67"/>
  <c r="C56"/>
  <c r="D34"/>
  <c r="F34"/>
  <c r="F25"/>
  <c r="H25" s="1"/>
  <c r="C13"/>
  <c r="C12" s="1"/>
  <c r="C11" s="1"/>
  <c r="C25"/>
  <c r="C24" s="1"/>
  <c r="C31"/>
  <c r="C34"/>
  <c r="C39"/>
  <c r="C40"/>
  <c r="C44"/>
  <c r="C43" s="1"/>
  <c r="C48"/>
  <c r="C50"/>
  <c r="C52"/>
  <c r="C51" s="1"/>
  <c r="C55"/>
  <c r="C54" s="1"/>
  <c r="C64"/>
  <c r="C63" s="1"/>
  <c r="C80"/>
  <c r="C79" s="1"/>
  <c r="C30" l="1"/>
  <c r="C10"/>
  <c r="C42"/>
  <c r="C9" l="1"/>
  <c r="C84"/>
  <c r="G44" l="1"/>
  <c r="G55"/>
  <c r="H71" l="1"/>
  <c r="I76" l="1"/>
  <c r="I77"/>
  <c r="H72"/>
  <c r="H68" s="1"/>
  <c r="H65"/>
  <c r="H62"/>
  <c r="H49"/>
  <c r="I46"/>
  <c r="H40"/>
  <c r="H39" s="1"/>
  <c r="H80"/>
  <c r="H79" s="1"/>
  <c r="G80"/>
  <c r="G79" s="1"/>
  <c r="G64"/>
  <c r="G63" s="1"/>
  <c r="G54"/>
  <c r="G52"/>
  <c r="G51" s="1"/>
  <c r="G40"/>
  <c r="G39" s="1"/>
  <c r="G31"/>
  <c r="I66"/>
  <c r="I53"/>
  <c r="I50"/>
  <c r="I47"/>
  <c r="I45"/>
  <c r="G67" l="1"/>
  <c r="H34"/>
  <c r="G12"/>
  <c r="G11" s="1"/>
  <c r="I48"/>
  <c r="G43"/>
  <c r="G42" s="1"/>
  <c r="H31"/>
  <c r="H12"/>
  <c r="H11" s="1"/>
  <c r="H52"/>
  <c r="H51" s="1"/>
  <c r="I56"/>
  <c r="I55" s="1"/>
  <c r="H64"/>
  <c r="H63" s="1"/>
  <c r="H48"/>
  <c r="H55"/>
  <c r="H54" s="1"/>
  <c r="G30"/>
  <c r="I34"/>
  <c r="D55"/>
  <c r="F55"/>
  <c r="H30" l="1"/>
  <c r="H44"/>
  <c r="H43" s="1"/>
  <c r="H42" s="1"/>
  <c r="F12"/>
  <c r="F11" s="1"/>
  <c r="G10"/>
  <c r="G9" s="1"/>
  <c r="G7" s="1"/>
  <c r="F80"/>
  <c r="F79" s="1"/>
  <c r="F64"/>
  <c r="F63" s="1"/>
  <c r="I63" s="1"/>
  <c r="F54"/>
  <c r="F52"/>
  <c r="F51" s="1"/>
  <c r="F40"/>
  <c r="F39" s="1"/>
  <c r="I39" s="1"/>
  <c r="F31"/>
  <c r="F24"/>
  <c r="I24" l="1"/>
  <c r="H24"/>
  <c r="H10" s="1"/>
  <c r="H9" s="1"/>
  <c r="G84"/>
  <c r="I31"/>
  <c r="F30"/>
  <c r="I30" s="1"/>
  <c r="I74"/>
  <c r="I44"/>
  <c r="F67"/>
  <c r="I67" s="1"/>
  <c r="I83"/>
  <c r="I42" l="1"/>
  <c r="H67"/>
  <c r="F10"/>
  <c r="F9" s="1"/>
  <c r="I9" s="1"/>
  <c r="I10" l="1"/>
  <c r="I84" l="1"/>
  <c r="H84"/>
  <c r="D31"/>
  <c r="D81" l="1"/>
  <c r="D64"/>
  <c r="D47"/>
  <c r="D83" l="1"/>
  <c r="D67" l="1"/>
  <c r="D80"/>
  <c r="D79" s="1"/>
  <c r="D63"/>
  <c r="D54"/>
  <c r="D52"/>
  <c r="D51" s="1"/>
  <c r="D48"/>
  <c r="D44"/>
  <c r="D40"/>
  <c r="D39" s="1"/>
  <c r="D30"/>
  <c r="D24"/>
  <c r="D12"/>
  <c r="D11" s="1"/>
  <c r="D43" l="1"/>
  <c r="D42" s="1"/>
  <c r="D10"/>
  <c r="D84" l="1"/>
  <c r="D9"/>
</calcChain>
</file>

<file path=xl/sharedStrings.xml><?xml version="1.0" encoding="utf-8"?>
<sst xmlns="http://schemas.openxmlformats.org/spreadsheetml/2006/main" count="163" uniqueCount="158">
  <si>
    <t/>
  </si>
  <si>
    <t>КБК</t>
  </si>
  <si>
    <t>Наименование</t>
  </si>
  <si>
    <t>НАЛОГОВЫЕ И НЕНАЛОГОВЫЕ ДОХОДЫ</t>
  </si>
  <si>
    <t>Налоговые</t>
  </si>
  <si>
    <t>000 1 01 00000 00 0000 000</t>
  </si>
  <si>
    <t>НАЛОГИ НА ПРИБЫЛЬ, ДОХОДЫ</t>
  </si>
  <si>
    <t>000 1 01 02000 01 0000 110</t>
  </si>
  <si>
    <t>Налог на доходы физических лиц взимаемый на межселенной территории</t>
  </si>
  <si>
    <t>802 1 01 02010 01 0000 110</t>
  </si>
  <si>
    <t>Налог на доходы физических лиц</t>
  </si>
  <si>
    <t>000 1 03 00000 00 0000 000</t>
  </si>
  <si>
    <t>НАЛОГИ НА ТОВАРЫ (РАБОТЫ, УСЛУГИ), РЕАЛИЗУЕМЫЕ НА ТЕРРИТОРИИ РОССИЙСКОЙ ФЕДЕРАЦИИ</t>
  </si>
  <si>
    <t>802 1 03 00000 00 0000 000</t>
  </si>
  <si>
    <t>000 1 06 00000 00 0000 000</t>
  </si>
  <si>
    <t>НАЛОГИ НА ИМУЩЕСТВО</t>
  </si>
  <si>
    <t>000 1 06 01000 00 0000 110</t>
  </si>
  <si>
    <t>Налог на имущество физических лиц</t>
  </si>
  <si>
    <t>802 1 06 01030 13 0000 110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</si>
  <si>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</t>
  </si>
  <si>
    <t>000 1 06 06000 00 0000 110</t>
  </si>
  <si>
    <t>Земельный налог</t>
  </si>
  <si>
    <t>Земельный налог с организаций, обладающих земельным участком, расположенным в границах городских поселений</t>
  </si>
  <si>
    <t>000 1 08 00000 00 0000 000</t>
  </si>
  <si>
    <t>ГОСУДАРСТВЕННАЯ ПОШЛИНА</t>
  </si>
  <si>
    <t>000 1 08 07000 01 0000 110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</si>
  <si>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</si>
  <si>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802 1 08 07175 01 1000 110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</si>
  <si>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 тяжеловесных и (или) крупногабаритных грузов, зачисляемая в бюджеты поселений</t>
  </si>
  <si>
    <t>Неналоговые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</si>
  <si>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</si>
  <si>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</si>
  <si>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</si>
  <si>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</t>
  </si>
  <si>
    <t>802 1 11 05013 13 0000 120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</si>
  <si>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</t>
  </si>
  <si>
    <t>802 1 11 05025 13 0000 120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</si>
  <si>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</si>
  <si>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</si>
  <si>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</t>
  </si>
  <si>
    <t>802 1 11 09045 13 0000 120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</si>
  <si>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</si>
  <si>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000 1 13 00000 00 0000 000</t>
  </si>
  <si>
    <t>ДОХОДЫ ОТ ОКАЗАНИЯ ПЛАТНЫХ УСЛУГ (РАБОТ) И КОМПЕНСАЦИИ ЗАТРАТ ГОСУДАРСТВА</t>
  </si>
  <si>
    <t>000 1 13 02000 00 0000 130</t>
  </si>
  <si>
    <t>Доходы от компенсации затрат государства</t>
  </si>
  <si>
    <t>802 1 13 02995 13 0000 130</t>
  </si>
  <si>
    <t>Прочие доходы от компенсации затрат  бюджетов городских поселений</t>
  </si>
  <si>
    <t>000 1 14 00000 00 0000 000</t>
  </si>
  <si>
    <t>ДОХОДЫ ОТ ПРОДАЖИ МАТЕРИАЛЬНЫХ И НЕМАТЕРИАЛЬНЫХ АКТИВОВ</t>
  </si>
  <si>
    <t>000 1 14 06000 00 0000 430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</si>
  <si>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</si>
  <si>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802 1 14 06013 13 0000 430</t>
  </si>
  <si>
    <t>Доходы от продажи земельных участков, государственная собственность на которые не разраничена и которые расположены в границах городских поселений</t>
  </si>
  <si>
    <t>000 1 17 00000 00 0000 000</t>
  </si>
  <si>
    <t>ПРОЧИЕ НЕНАЛОГОВЫЕ ДОХОДЫ</t>
  </si>
  <si>
    <t>000 1 17 05000 00 0000 180</t>
  </si>
  <si>
    <t>Прочие неналоговые доходы</t>
  </si>
  <si>
    <t>802 1 17 05050 13 0000 180</t>
  </si>
  <si>
    <t>Прочие неналоговые доходы бюджетов городских поселений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</si>
  <si>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</si>
  <si>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</si>
  <si>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</si>
  <si>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Субсидия на поддержу государственных программ формирования современной городской среды</t>
  </si>
  <si>
    <t>000 2 07 00000 00 0000 000</t>
  </si>
  <si>
    <t>ПРОЧИЕ БЕЗВОЗМЕЗДНЫЕ ПОСТУПЛЕНИЯ</t>
  </si>
  <si>
    <t>Прочие безвозмездные поступления в бюджеты муниципальных районов</t>
  </si>
  <si>
    <t>Прочие безвозмездные поступления в бюджеты городских поселений</t>
  </si>
  <si>
    <t>ВСЕГО ДОХОДОВ</t>
  </si>
  <si>
    <t>802 2 02 25555 13 0000 150</t>
  </si>
  <si>
    <t>000 2 07 05000 05 0000 150</t>
  </si>
  <si>
    <t>802 2 19 60010 13 0000 150</t>
  </si>
  <si>
    <t>802 2 18 60010 13 0000 150</t>
  </si>
  <si>
    <t>Доходы бюджетов поселений от возврата остатков субсидий, субвенций и иных межбюджетных трансфертов, имеющих целевое назначение, прошлых лет из бюджета района</t>
  </si>
  <si>
    <t>Возврат остатков субсидий, субвенций и иных межбюджетных трансфертов, имеющих целевое назначение, прошлых лет из бюджета поселения</t>
  </si>
  <si>
    <t>802 2 02 35118 13 0000 151</t>
  </si>
  <si>
    <t>Субвенции бюджетам субъектов Российской Федерации на осуществление первичного воинского учета на территориях, где отсутствуют военные комиссариаты</t>
  </si>
  <si>
    <t>802 2 02 30024 13 6336 151</t>
  </si>
  <si>
    <t>Выполнение отдельных государственных полномочий по организации мероприятий по предупреждению и ликивдации болезней животных, их лечению, защите населения от болезней, общих для человека и животных</t>
  </si>
  <si>
    <t>802 2 02 35930 13 0000 151</t>
  </si>
  <si>
    <t>Субвенции бюджетам субъектов Российской Федерации на государственную регистрацию актов гражданского состояния</t>
  </si>
  <si>
    <t>802 2 02 45160 13 0000 151</t>
  </si>
  <si>
    <t>Межбюджетные трансферты, передаваемые бюджетам поселений для компенсации дополнительных расходов, возникших в результате решений, принятых органиами власти другого уровня</t>
  </si>
  <si>
    <t>802 1 17 01050 13 0000 180</t>
  </si>
  <si>
    <t>Невыясненные поступления</t>
  </si>
  <si>
    <t>% исполнения</t>
  </si>
  <si>
    <t>Отклонение от уточненного плана ("-" недовыполнение; "+" перевыполнение")</t>
  </si>
  <si>
    <t>Денежные взыскания (штрафы) за нарушение законодательства РФ о контрактно системе в сфере закупок товаров, работ, услуг для обеспечения государственных и муниципальных нужд городских поселений</t>
  </si>
  <si>
    <t>802 1 16 33050 13 6000 140</t>
  </si>
  <si>
    <t>Сумма уточненного плана</t>
  </si>
  <si>
    <t>Сумма уточненного плана на 2020 год</t>
  </si>
  <si>
    <t xml:space="preserve"> 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</si>
  <si>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</si>
  <si>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 xml:space="preserve"> 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</si>
  <si>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</si>
  <si>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</si>
  <si>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 xml:space="preserve"> 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</si>
  <si>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</si>
  <si>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 xml:space="preserve"> 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</si>
  <si>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</si>
  <si>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</si>
  <si>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</si>
  <si>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</si>
  <si>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</si>
  <si>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</si>
  <si>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</si>
  <si>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 xml:space="preserve"> 182 10102030013000110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</si>
  <si>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</si>
  <si>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182 1 06 01030 13 2100 110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</si>
  <si>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</si>
  <si>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802 1 06 06033 13 1000 110</t>
  </si>
  <si>
    <t>182 1 06 06033 13 2100 110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</si>
  <si>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</si>
  <si>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182 1 06 06043 13 1000 110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</si>
  <si>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</si>
  <si>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182 1 06 06043 13 2100 110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</si>
  <si>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</si>
  <si>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100 1 03 0223 10 1000 110</t>
  </si>
  <si>
    <t>Доходы от уплаты акцизов на дизельное топливо, подлежащее распределению между бюджетами  субъектов РФ и местными бюджетами с учетом установленных дифференцированных нормативов отчислений в местные бюджеты</t>
  </si>
  <si>
    <t>100 1 03 0224 10 1000 110</t>
  </si>
  <si>
    <t>Доходы от уплаты акцизов на моторные масла для дизельных и (или) карбюраторных (инжекторных) двигателей, подлежащее распределению между бюджетами  субъектов РФ и местными бюджетами с учетом установленных дифференцированных нормативов отчислений в местные бюджеты</t>
  </si>
  <si>
    <t>100 1 03 0225 10 1000 110</t>
  </si>
  <si>
    <t>Доходы от уплаты акцизов на автомобильный бензин,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</si>
  <si>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100 1 03 0226 10 1000 110</t>
  </si>
  <si>
    <t>Доходы от уплаты акцизов на прямогонный бензин,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</si>
  <si>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802 1 11 05075 13 0000 120</t>
  </si>
  <si>
    <t>802 1 16 07010 13 0000 140</t>
  </si>
  <si>
    <t>802 1 16 10031 13 0000 140</t>
  </si>
  <si>
    <t>Возмещение ущерба при возниконовении страховых случаев</t>
  </si>
  <si>
    <t>802 2 02 29999 13 6265 150</t>
  </si>
  <si>
    <t>Субсидия из гос.бюджета на реализацию проектов развития общественной инфраструктуры, основанных на местных инициативах</t>
  </si>
  <si>
    <t>802 1 14 06025 13 0000 430</t>
  </si>
  <si>
    <t>Доходыот продажи земельных участков, находящихся в собственности городских поселений</t>
  </si>
  <si>
    <t>802 1 11 07015 13 0000 120</t>
  </si>
  <si>
    <t>Доходы от перечисления части прибыли МУПов</t>
  </si>
  <si>
    <t>802 1 16 07090 13 0000 140</t>
  </si>
  <si>
    <t>802 1 16 09040 13 0000 140</t>
  </si>
  <si>
    <t>802 2 07 05020 13 0000 150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</si>
  <si>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</si>
  <si>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Денежные средства, изымаемые в собственность городского поселения в соответствии с решениями судов (за исключением обвинительных приговоров судов)</t>
  </si>
  <si>
    <t>Дотация на поддержку мер по обеспечению сбалансированности местных бюджетов</t>
  </si>
  <si>
    <t>Приложение 1</t>
  </si>
  <si>
    <t xml:space="preserve">к постановлению </t>
  </si>
  <si>
    <t>Доходы от сдачи в аренду имущества, составляющего казну городских поселений (за исключением земельных участков)</t>
  </si>
  <si>
    <t>802 2 02 29 999 13 6277 150</t>
  </si>
  <si>
    <t>Субсидия из гос.бюджета Республики  Саха (Якутия) местным бюджетам на организацию деятельности народных дружин</t>
  </si>
  <si>
    <t>802 2 19 60010 13 6265 150</t>
  </si>
  <si>
    <t>Возврат субсидий на реализацию на территории Республики Саха (Якутия) проектов развития общественной инфраструктуры, основанных на местных инициативах (за счет средств ГБ)</t>
  </si>
  <si>
    <t>Сумма                    ПЛАНА                                     НА 2021 ГОД</t>
  </si>
  <si>
    <t>Сумма уточненного плана на 01.07.2021г.</t>
  </si>
  <si>
    <t>Фактическое исполнение на 01.07.2021г.</t>
  </si>
  <si>
    <t xml:space="preserve"> 182 10102080011000110</t>
  </si>
  <si>
    <t xml:space="preserve"> 182 10102010012200110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</si>
  <si>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(проценты по соответствующему платежу)</t>
  </si>
  <si>
    <t>802 2 02 29999 13 6277 150</t>
  </si>
  <si>
    <t>Субсидии местным бюджетам на организацию деятельности народных дружин</t>
  </si>
  <si>
    <t>Исполнение доходов бюджета МО "Город Удачный" за 1 полугодие 2021г.</t>
  </si>
  <si>
    <t>от "22" июля 2021г. № 464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</si>
</sst>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.0"/>
    <numFmt numFmtId="165" formatCode="_-* #,##0.0_р_._-;\-* #,##0.0_р_._-;_-* &quot;-&quot;??_р_._-;_-@_-"/>
  </numFmts>
  <fonts count="16">
    <font>
      <sz val="10"/>
      <color rgb="FF000000"/>
      <name val="Times New Roman"/>
      <family val="2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2"/>
    </font>
    <font>
      <b/>
      <sz val="10"/>
      <color theme="3" tint="0.39997558519241921"/>
      <name val="Times New Roman"/>
      <family val="1"/>
      <charset val="204"/>
    </font>
    <font>
      <b/>
      <sz val="10"/>
      <color rgb="FFC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theme="0"/>
      <name val="Times New Roman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>
      <alignment vertical="top" wrapText="1"/>
    </xf>
    <xf numFmtId="43" fontId="2" fillId="0" borderId="0" applyFont="0" applyFill="0" applyBorder="0" applyAlignment="0" applyProtection="0"/>
    <xf numFmtId="0" fontId="7" fillId="0" borderId="0"/>
  </cellStyleXfs>
  <cellXfs count="136">
    <xf numFmtId="0" fontId="0" fillId="0" borderId="0" xfId="0" applyFont="1" applyFill="1" applyAlignment="1">
      <alignment vertical="top" wrapText="1"/>
    </xf>
    <xf numFmtId="4" fontId="1" fillId="0" borderId="2" xfId="0" applyNumberFormat="1" applyFont="1" applyFill="1" applyBorder="1" applyAlignment="1">
      <alignment horizontal="right" vertical="top" wrapText="1"/>
    </xf>
    <xf numFmtId="43" fontId="1" fillId="0" borderId="2" xfId="1" applyFont="1" applyFill="1" applyBorder="1" applyAlignment="1">
      <alignment horizontal="right" vertical="top" wrapText="1"/>
    </xf>
    <xf numFmtId="0" fontId="0" fillId="0" borderId="1" xfId="0" applyFont="1" applyFill="1" applyBorder="1" applyAlignment="1">
      <alignment vertical="top" wrapText="1"/>
    </xf>
    <xf numFmtId="4" fontId="0" fillId="0" borderId="1" xfId="0" applyNumberFormat="1" applyFont="1" applyFill="1" applyBorder="1" applyAlignment="1">
      <alignment vertical="top" wrapText="1"/>
    </xf>
    <xf numFmtId="4" fontId="1" fillId="0" borderId="1" xfId="0" applyNumberFormat="1" applyFont="1" applyFill="1" applyBorder="1" applyAlignment="1">
      <alignment horizontal="right" vertical="top" wrapText="1"/>
    </xf>
    <xf numFmtId="0" fontId="0" fillId="0" borderId="3" xfId="0" applyFont="1" applyFill="1" applyBorder="1" applyAlignment="1">
      <alignment vertical="top" wrapText="1"/>
    </xf>
    <xf numFmtId="43" fontId="1" fillId="0" borderId="1" xfId="1" applyFont="1" applyFill="1" applyBorder="1" applyAlignment="1">
      <alignment horizontal="right" vertical="top" wrapText="1"/>
    </xf>
    <xf numFmtId="43" fontId="1" fillId="0" borderId="5" xfId="1" applyFont="1" applyFill="1" applyBorder="1" applyAlignment="1">
      <alignment horizontal="right" vertical="top" wrapText="1"/>
    </xf>
    <xf numFmtId="4" fontId="0" fillId="0" borderId="7" xfId="0" applyNumberFormat="1" applyFont="1" applyFill="1" applyBorder="1" applyAlignment="1">
      <alignment horizontal="right" vertical="top" wrapText="1"/>
    </xf>
    <xf numFmtId="43" fontId="4" fillId="0" borderId="1" xfId="0" applyNumberFormat="1" applyFont="1" applyFill="1" applyBorder="1" applyAlignment="1">
      <alignment vertical="top" wrapText="1"/>
    </xf>
    <xf numFmtId="4" fontId="0" fillId="0" borderId="1" xfId="0" applyNumberFormat="1" applyFont="1" applyFill="1" applyBorder="1" applyAlignment="1">
      <alignment horizontal="right" vertical="top" wrapText="1"/>
    </xf>
    <xf numFmtId="43" fontId="3" fillId="0" borderId="7" xfId="1" applyFont="1" applyFill="1" applyBorder="1" applyAlignment="1">
      <alignment horizontal="right" vertical="top" wrapText="1"/>
    </xf>
    <xf numFmtId="4" fontId="1" fillId="0" borderId="3" xfId="0" applyNumberFormat="1" applyFont="1" applyFill="1" applyBorder="1" applyAlignment="1">
      <alignment horizontal="right" vertical="top" wrapText="1"/>
    </xf>
    <xf numFmtId="43" fontId="0" fillId="0" borderId="1" xfId="0" applyNumberFormat="1" applyFont="1" applyFill="1" applyBorder="1" applyAlignment="1">
      <alignment vertical="top" wrapText="1"/>
    </xf>
    <xf numFmtId="43" fontId="0" fillId="0" borderId="6" xfId="0" applyNumberFormat="1" applyFont="1" applyFill="1" applyBorder="1" applyAlignment="1">
      <alignment horizontal="right" vertical="top" wrapText="1"/>
    </xf>
    <xf numFmtId="43" fontId="0" fillId="0" borderId="1" xfId="0" applyNumberFormat="1" applyFont="1" applyFill="1" applyBorder="1" applyAlignment="1">
      <alignment horizontal="right" vertical="top" wrapText="1"/>
    </xf>
    <xf numFmtId="43" fontId="0" fillId="0" borderId="4" xfId="0" applyNumberFormat="1" applyFill="1" applyBorder="1" applyAlignment="1">
      <alignment vertical="top" wrapText="1"/>
    </xf>
    <xf numFmtId="43" fontId="1" fillId="0" borderId="1" xfId="0" applyNumberFormat="1" applyFont="1" applyFill="1" applyBorder="1" applyAlignment="1">
      <alignment horizontal="right" vertical="top" wrapText="1"/>
    </xf>
    <xf numFmtId="43" fontId="0" fillId="0" borderId="3" xfId="0" applyNumberFormat="1" applyFont="1" applyFill="1" applyBorder="1" applyAlignment="1">
      <alignment vertical="top" wrapText="1"/>
    </xf>
    <xf numFmtId="43" fontId="4" fillId="0" borderId="5" xfId="0" applyNumberFormat="1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horizontal="center" vertical="center" wrapText="1"/>
    </xf>
    <xf numFmtId="43" fontId="5" fillId="0" borderId="1" xfId="1" applyFont="1" applyFill="1" applyBorder="1" applyAlignment="1">
      <alignment horizontal="right" vertical="top" wrapText="1"/>
    </xf>
    <xf numFmtId="43" fontId="1" fillId="0" borderId="7" xfId="1" applyFont="1" applyFill="1" applyBorder="1" applyAlignment="1">
      <alignment horizontal="right" vertical="top" wrapText="1"/>
    </xf>
    <xf numFmtId="0" fontId="0" fillId="0" borderId="10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43" fontId="5" fillId="0" borderId="3" xfId="1" applyFont="1" applyFill="1" applyBorder="1" applyAlignment="1">
      <alignment horizontal="right" vertical="top" wrapText="1"/>
    </xf>
    <xf numFmtId="0" fontId="0" fillId="0" borderId="0" xfId="0" applyFont="1" applyFill="1" applyAlignment="1">
      <alignment horizontal="center" vertical="top" wrapText="1"/>
    </xf>
    <xf numFmtId="0" fontId="0" fillId="0" borderId="1" xfId="0" applyFill="1" applyBorder="1" applyAlignment="1">
      <alignment vertical="top" wrapText="1"/>
    </xf>
    <xf numFmtId="0" fontId="0" fillId="0" borderId="11" xfId="0" applyFont="1" applyFill="1" applyBorder="1" applyAlignment="1">
      <alignment vertical="top" wrapText="1"/>
    </xf>
    <xf numFmtId="0" fontId="0" fillId="0" borderId="0" xfId="0" applyFont="1" applyFill="1" applyBorder="1" applyAlignment="1">
      <alignment vertical="top" wrapText="1"/>
    </xf>
    <xf numFmtId="0" fontId="6" fillId="0" borderId="12" xfId="0" quotePrefix="1" applyNumberFormat="1" applyFont="1" applyBorder="1" applyAlignment="1">
      <alignment horizontal="left" wrapText="1"/>
    </xf>
    <xf numFmtId="0" fontId="1" fillId="0" borderId="1" xfId="0" applyFont="1" applyFill="1" applyBorder="1" applyAlignment="1">
      <alignment vertical="top" wrapText="1"/>
    </xf>
    <xf numFmtId="43" fontId="4" fillId="0" borderId="10" xfId="0" applyNumberFormat="1" applyFont="1" applyFill="1" applyBorder="1" applyAlignment="1">
      <alignment horizontal="right" vertical="top" wrapText="1"/>
    </xf>
    <xf numFmtId="43" fontId="0" fillId="0" borderId="3" xfId="0" applyNumberFormat="1" applyFill="1" applyBorder="1" applyAlignment="1">
      <alignment vertical="top" wrapText="1"/>
    </xf>
    <xf numFmtId="3" fontId="0" fillId="0" borderId="11" xfId="0" applyNumberFormat="1" applyFont="1" applyFill="1" applyBorder="1" applyAlignment="1">
      <alignment vertical="top" wrapText="1"/>
    </xf>
    <xf numFmtId="43" fontId="4" fillId="0" borderId="3" xfId="0" applyNumberFormat="1" applyFont="1" applyFill="1" applyBorder="1" applyAlignment="1">
      <alignment vertical="top" wrapText="1"/>
    </xf>
    <xf numFmtId="43" fontId="4" fillId="0" borderId="1" xfId="0" applyNumberFormat="1" applyFont="1" applyFill="1" applyBorder="1" applyAlignment="1">
      <alignment horizontal="right" vertical="top" wrapText="1"/>
    </xf>
    <xf numFmtId="43" fontId="3" fillId="0" borderId="1" xfId="1" applyFont="1" applyFill="1" applyBorder="1" applyAlignment="1">
      <alignment horizontal="right" vertical="top" wrapText="1"/>
    </xf>
    <xf numFmtId="4" fontId="1" fillId="3" borderId="2" xfId="0" applyNumberFormat="1" applyFont="1" applyFill="1" applyBorder="1" applyAlignment="1">
      <alignment horizontal="right" vertical="top" wrapText="1"/>
    </xf>
    <xf numFmtId="0" fontId="1" fillId="3" borderId="3" xfId="0" applyFont="1" applyFill="1" applyBorder="1" applyAlignment="1">
      <alignment vertical="top" wrapText="1"/>
    </xf>
    <xf numFmtId="4" fontId="1" fillId="3" borderId="1" xfId="0" applyNumberFormat="1" applyFont="1" applyFill="1" applyBorder="1" applyAlignment="1">
      <alignment horizontal="right" vertical="top" wrapText="1"/>
    </xf>
    <xf numFmtId="0" fontId="10" fillId="0" borderId="0" xfId="0" applyFont="1" applyFill="1" applyAlignment="1">
      <alignment horizontal="left" vertical="top" wrapText="1"/>
    </xf>
    <xf numFmtId="0" fontId="11" fillId="0" borderId="0" xfId="0" applyFont="1" applyFill="1" applyAlignment="1">
      <alignment vertical="top" wrapText="1"/>
    </xf>
    <xf numFmtId="0" fontId="10" fillId="0" borderId="0" xfId="0" applyFont="1" applyFill="1" applyAlignment="1">
      <alignment horizontal="center" vertical="top" wrapText="1"/>
    </xf>
    <xf numFmtId="0" fontId="1" fillId="5" borderId="1" xfId="0" applyFont="1" applyFill="1" applyBorder="1" applyAlignment="1">
      <alignment horizontal="center" vertical="top" wrapText="1"/>
    </xf>
    <xf numFmtId="0" fontId="0" fillId="0" borderId="4" xfId="0" applyFont="1" applyFill="1" applyBorder="1" applyAlignment="1">
      <alignment vertical="top" wrapText="1"/>
    </xf>
    <xf numFmtId="0" fontId="10" fillId="0" borderId="0" xfId="0" applyFont="1" applyFill="1" applyAlignment="1">
      <alignment vertical="top" wrapText="1"/>
    </xf>
    <xf numFmtId="0" fontId="12" fillId="0" borderId="0" xfId="0" applyFont="1" applyFill="1" applyAlignment="1">
      <alignment vertical="top" wrapText="1"/>
    </xf>
    <xf numFmtId="0" fontId="12" fillId="0" borderId="0" xfId="0" applyFont="1" applyFill="1" applyAlignment="1">
      <alignment horizontal="right" vertical="top" wrapText="1"/>
    </xf>
    <xf numFmtId="43" fontId="5" fillId="0" borderId="2" xfId="1" applyFont="1" applyFill="1" applyBorder="1" applyAlignment="1">
      <alignment horizontal="right" vertical="top" wrapText="1"/>
    </xf>
    <xf numFmtId="43" fontId="5" fillId="0" borderId="0" xfId="1" applyFont="1" applyFill="1" applyBorder="1" applyAlignment="1">
      <alignment horizontal="right" vertical="top" wrapText="1"/>
    </xf>
    <xf numFmtId="0" fontId="0" fillId="0" borderId="1" xfId="0" applyFont="1" applyFill="1" applyBorder="1" applyAlignment="1">
      <alignment horizontal="center" vertical="top" wrapText="1"/>
    </xf>
    <xf numFmtId="43" fontId="1" fillId="0" borderId="1" xfId="0" applyNumberFormat="1" applyFont="1" applyFill="1" applyBorder="1" applyAlignment="1">
      <alignment horizontal="center" vertical="top" wrapText="1"/>
    </xf>
    <xf numFmtId="164" fontId="0" fillId="0" borderId="1" xfId="0" applyNumberFormat="1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43" fontId="9" fillId="4" borderId="2" xfId="0" applyNumberFormat="1" applyFont="1" applyFill="1" applyBorder="1" applyAlignment="1">
      <alignment horizontal="right" vertical="top" wrapText="1"/>
    </xf>
    <xf numFmtId="43" fontId="9" fillId="4" borderId="1" xfId="0" applyNumberFormat="1" applyFont="1" applyFill="1" applyBorder="1" applyAlignment="1">
      <alignment horizontal="right" vertical="top" wrapText="1"/>
    </xf>
    <xf numFmtId="164" fontId="1" fillId="4" borderId="1" xfId="0" applyNumberFormat="1" applyFont="1" applyFill="1" applyBorder="1" applyAlignment="1">
      <alignment horizontal="center" vertical="top" wrapText="1"/>
    </xf>
    <xf numFmtId="164" fontId="14" fillId="0" borderId="1" xfId="0" applyNumberFormat="1" applyFont="1" applyFill="1" applyBorder="1" applyAlignment="1">
      <alignment horizontal="center" vertical="top" wrapText="1"/>
    </xf>
    <xf numFmtId="43" fontId="0" fillId="0" borderId="8" xfId="0" applyNumberFormat="1" applyFont="1" applyFill="1" applyBorder="1" applyAlignment="1">
      <alignment horizontal="right" vertical="top" wrapText="1"/>
    </xf>
    <xf numFmtId="43" fontId="0" fillId="0" borderId="1" xfId="0" applyNumberFormat="1" applyFill="1" applyBorder="1" applyAlignment="1">
      <alignment vertical="top" wrapText="1"/>
    </xf>
    <xf numFmtId="2" fontId="0" fillId="0" borderId="1" xfId="0" applyNumberFormat="1" applyFont="1" applyFill="1" applyBorder="1" applyAlignment="1">
      <alignment horizontal="center" vertical="top" wrapText="1"/>
    </xf>
    <xf numFmtId="4" fontId="0" fillId="2" borderId="2" xfId="0" applyNumberFormat="1" applyFont="1" applyFill="1" applyBorder="1" applyAlignment="1">
      <alignment horizontal="right" vertical="top" wrapText="1"/>
    </xf>
    <xf numFmtId="43" fontId="1" fillId="2" borderId="2" xfId="1" applyFont="1" applyFill="1" applyBorder="1" applyAlignment="1">
      <alignment horizontal="right" vertical="top" wrapText="1"/>
    </xf>
    <xf numFmtId="4" fontId="1" fillId="2" borderId="2" xfId="0" applyNumberFormat="1" applyFont="1" applyFill="1" applyBorder="1" applyAlignment="1">
      <alignment horizontal="right" vertical="top" wrapText="1"/>
    </xf>
    <xf numFmtId="4" fontId="0" fillId="2" borderId="7" xfId="0" applyNumberFormat="1" applyFont="1" applyFill="1" applyBorder="1" applyAlignment="1">
      <alignment horizontal="right" vertical="top" wrapText="1"/>
    </xf>
    <xf numFmtId="4" fontId="0" fillId="2" borderId="1" xfId="0" applyNumberFormat="1" applyFont="1" applyFill="1" applyBorder="1" applyAlignment="1">
      <alignment horizontal="right" vertical="top" wrapText="1"/>
    </xf>
    <xf numFmtId="4" fontId="0" fillId="2" borderId="9" xfId="0" applyNumberFormat="1" applyFont="1" applyFill="1" applyBorder="1" applyAlignment="1">
      <alignment horizontal="right" vertical="top" wrapText="1"/>
    </xf>
    <xf numFmtId="4" fontId="0" fillId="2" borderId="5" xfId="0" applyNumberFormat="1" applyFont="1" applyFill="1" applyBorder="1" applyAlignment="1">
      <alignment horizontal="right" vertical="top" wrapText="1"/>
    </xf>
    <xf numFmtId="43" fontId="0" fillId="0" borderId="0" xfId="0" applyNumberFormat="1" applyFont="1" applyFill="1" applyAlignment="1">
      <alignment vertical="top" wrapText="1"/>
    </xf>
    <xf numFmtId="4" fontId="0" fillId="0" borderId="3" xfId="0" applyNumberFormat="1" applyFont="1" applyFill="1" applyBorder="1" applyAlignment="1">
      <alignment vertical="top" wrapText="1"/>
    </xf>
    <xf numFmtId="43" fontId="1" fillId="0" borderId="3" xfId="1" applyFont="1" applyFill="1" applyBorder="1" applyAlignment="1">
      <alignment horizontal="right" vertical="top" wrapText="1"/>
    </xf>
    <xf numFmtId="165" fontId="9" fillId="0" borderId="1" xfId="0" applyNumberFormat="1" applyFont="1" applyFill="1" applyBorder="1" applyAlignment="1">
      <alignment horizontal="center" vertical="top" wrapText="1"/>
    </xf>
    <xf numFmtId="43" fontId="1" fillId="0" borderId="1" xfId="1" applyFont="1" applyFill="1" applyBorder="1" applyAlignment="1">
      <alignment horizontal="center" vertical="top" wrapText="1"/>
    </xf>
    <xf numFmtId="165" fontId="9" fillId="4" borderId="1" xfId="0" applyNumberFormat="1" applyFont="1" applyFill="1" applyBorder="1" applyAlignment="1">
      <alignment horizontal="center" vertical="top" wrapText="1"/>
    </xf>
    <xf numFmtId="165" fontId="13" fillId="0" borderId="1" xfId="0" applyNumberFormat="1" applyFont="1" applyFill="1" applyBorder="1" applyAlignment="1">
      <alignment horizontal="center" vertical="top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vertical="top" wrapText="1"/>
    </xf>
    <xf numFmtId="0" fontId="9" fillId="4" borderId="14" xfId="0" applyFont="1" applyFill="1" applyBorder="1" applyAlignment="1">
      <alignment vertical="top" wrapText="1"/>
    </xf>
    <xf numFmtId="0" fontId="1" fillId="3" borderId="14" xfId="0" applyFont="1" applyFill="1" applyBorder="1" applyAlignment="1">
      <alignment vertical="top" wrapText="1"/>
    </xf>
    <xf numFmtId="0" fontId="0" fillId="0" borderId="14" xfId="0" applyFont="1" applyFill="1" applyBorder="1" applyAlignment="1">
      <alignment vertical="top" wrapText="1"/>
    </xf>
    <xf numFmtId="0" fontId="0" fillId="0" borderId="14" xfId="0" applyFill="1" applyBorder="1" applyAlignment="1">
      <alignment vertical="top" wrapText="1"/>
    </xf>
    <xf numFmtId="0" fontId="0" fillId="0" borderId="15" xfId="0" applyFill="1" applyBorder="1" applyAlignment="1">
      <alignment vertical="top" wrapText="1"/>
    </xf>
    <xf numFmtId="0" fontId="8" fillId="0" borderId="16" xfId="2" applyNumberFormat="1" applyFont="1" applyBorder="1" applyAlignment="1">
      <alignment horizontal="justify"/>
    </xf>
    <xf numFmtId="0" fontId="5" fillId="0" borderId="14" xfId="0" applyFont="1" applyFill="1" applyBorder="1" applyAlignment="1">
      <alignment vertical="top" wrapText="1"/>
    </xf>
    <xf numFmtId="0" fontId="0" fillId="0" borderId="15" xfId="0" applyFont="1" applyFill="1" applyBorder="1" applyAlignment="1">
      <alignment vertical="top" wrapText="1"/>
    </xf>
    <xf numFmtId="0" fontId="0" fillId="0" borderId="16" xfId="0" applyFill="1" applyBorder="1" applyAlignment="1">
      <alignment vertical="top" wrapText="1"/>
    </xf>
    <xf numFmtId="0" fontId="0" fillId="0" borderId="17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1" fillId="0" borderId="18" xfId="0" applyFont="1" applyFill="1" applyBorder="1" applyAlignment="1">
      <alignment vertical="top" wrapText="1"/>
    </xf>
    <xf numFmtId="0" fontId="1" fillId="0" borderId="15" xfId="0" applyFont="1" applyFill="1" applyBorder="1" applyAlignment="1">
      <alignment vertical="top" wrapText="1"/>
    </xf>
    <xf numFmtId="0" fontId="5" fillId="0" borderId="16" xfId="0" applyFont="1" applyFill="1" applyBorder="1" applyAlignment="1">
      <alignment vertical="top" wrapText="1"/>
    </xf>
    <xf numFmtId="0" fontId="0" fillId="0" borderId="18" xfId="0" applyFont="1" applyFill="1" applyBorder="1" applyAlignment="1">
      <alignment vertical="top" wrapText="1"/>
    </xf>
    <xf numFmtId="0" fontId="3" fillId="0" borderId="14" xfId="0" applyFont="1" applyFill="1" applyBorder="1" applyAlignment="1">
      <alignment vertical="top" wrapText="1"/>
    </xf>
    <xf numFmtId="0" fontId="1" fillId="0" borderId="19" xfId="0" applyFont="1" applyFill="1" applyBorder="1" applyAlignment="1">
      <alignment vertical="top" wrapText="1"/>
    </xf>
    <xf numFmtId="0" fontId="0" fillId="0" borderId="20" xfId="0" applyFont="1" applyFill="1" applyBorder="1" applyAlignment="1">
      <alignment vertical="top" wrapText="1"/>
    </xf>
    <xf numFmtId="0" fontId="5" fillId="0" borderId="22" xfId="0" applyFont="1" applyFill="1" applyBorder="1" applyAlignment="1">
      <alignment vertical="top" wrapText="1"/>
    </xf>
    <xf numFmtId="0" fontId="1" fillId="0" borderId="16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vertical="top" wrapText="1"/>
    </xf>
    <xf numFmtId="49" fontId="6" fillId="0" borderId="1" xfId="0" applyNumberFormat="1" applyFont="1" applyBorder="1" applyAlignment="1">
      <alignment horizontal="center" vertical="center" wrapText="1"/>
    </xf>
    <xf numFmtId="0" fontId="5" fillId="0" borderId="20" xfId="0" applyFont="1" applyFill="1" applyBorder="1" applyAlignment="1">
      <alignment vertical="top" wrapText="1"/>
    </xf>
    <xf numFmtId="43" fontId="5" fillId="0" borderId="8" xfId="0" applyNumberFormat="1" applyFont="1" applyFill="1" applyBorder="1" applyAlignment="1">
      <alignment horizontal="right" vertical="top" wrapText="1"/>
    </xf>
    <xf numFmtId="43" fontId="5" fillId="0" borderId="4" xfId="0" applyNumberFormat="1" applyFont="1" applyFill="1" applyBorder="1" applyAlignment="1">
      <alignment horizontal="right" vertical="top" wrapText="1"/>
    </xf>
    <xf numFmtId="43" fontId="5" fillId="0" borderId="1" xfId="0" applyNumberFormat="1" applyFont="1" applyFill="1" applyBorder="1" applyAlignment="1">
      <alignment horizontal="right" vertical="top" wrapText="1"/>
    </xf>
    <xf numFmtId="0" fontId="5" fillId="0" borderId="0" xfId="0" applyFont="1" applyFill="1" applyBorder="1" applyAlignment="1">
      <alignment vertical="top" wrapText="1"/>
    </xf>
    <xf numFmtId="43" fontId="0" fillId="0" borderId="11" xfId="0" applyNumberFormat="1" applyFill="1" applyBorder="1" applyAlignment="1">
      <alignment vertical="top" wrapText="1"/>
    </xf>
    <xf numFmtId="43" fontId="0" fillId="0" borderId="8" xfId="0" applyNumberFormat="1" applyFont="1" applyFill="1" applyBorder="1" applyAlignment="1">
      <alignment vertical="top" wrapText="1"/>
    </xf>
    <xf numFmtId="164" fontId="0" fillId="0" borderId="8" xfId="0" applyNumberFormat="1" applyFont="1" applyFill="1" applyBorder="1" applyAlignment="1">
      <alignment horizontal="center" vertical="top" wrapText="1"/>
    </xf>
    <xf numFmtId="43" fontId="1" fillId="0" borderId="9" xfId="1" applyFont="1" applyFill="1" applyBorder="1" applyAlignment="1">
      <alignment horizontal="right" vertical="top" wrapText="1"/>
    </xf>
    <xf numFmtId="0" fontId="0" fillId="0" borderId="9" xfId="0" applyFont="1" applyFill="1" applyBorder="1" applyAlignment="1">
      <alignment horizontal="center" vertical="top" wrapText="1"/>
    </xf>
    <xf numFmtId="164" fontId="1" fillId="3" borderId="1" xfId="0" applyNumberFormat="1" applyFont="1" applyFill="1" applyBorder="1" applyAlignment="1">
      <alignment horizontal="center" vertical="top" wrapText="1"/>
    </xf>
    <xf numFmtId="0" fontId="0" fillId="0" borderId="0" xfId="0" applyFill="1" applyAlignment="1">
      <alignment vertical="top" wrapText="1"/>
    </xf>
    <xf numFmtId="43" fontId="15" fillId="0" borderId="0" xfId="0" applyNumberFormat="1" applyFont="1" applyFill="1" applyAlignment="1">
      <alignment vertical="top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vertical="top" wrapText="1"/>
    </xf>
    <xf numFmtId="0" fontId="12" fillId="0" borderId="0" xfId="0" applyFont="1" applyFill="1" applyAlignment="1">
      <alignment horizontal="center" vertical="top" wrapText="1"/>
    </xf>
    <xf numFmtId="0" fontId="0" fillId="0" borderId="8" xfId="0" applyFill="1" applyBorder="1" applyAlignment="1">
      <alignment horizontal="center" vertical="center" wrapText="1"/>
    </xf>
    <xf numFmtId="0" fontId="0" fillId="0" borderId="8" xfId="0" applyFill="1" applyBorder="1" applyAlignment="1">
      <alignment vertical="top" wrapText="1"/>
    </xf>
    <xf numFmtId="0" fontId="0" fillId="0" borderId="9" xfId="0" applyFill="1" applyBorder="1" applyAlignment="1">
      <alignment horizontal="center" vertical="center" wrapText="1"/>
    </xf>
    <xf numFmtId="0" fontId="0" fillId="0" borderId="21" xfId="0" applyFont="1" applyFill="1" applyBorder="1" applyAlignment="1">
      <alignment vertical="top" wrapText="1"/>
    </xf>
    <xf numFmtId="43" fontId="0" fillId="0" borderId="23" xfId="0" applyNumberFormat="1" applyFont="1" applyFill="1" applyBorder="1" applyAlignment="1">
      <alignment horizontal="right" vertical="top" wrapText="1"/>
    </xf>
    <xf numFmtId="43" fontId="0" fillId="0" borderId="10" xfId="0" applyNumberFormat="1" applyFill="1" applyBorder="1" applyAlignment="1">
      <alignment vertical="top" wrapText="1"/>
    </xf>
    <xf numFmtId="43" fontId="0" fillId="0" borderId="9" xfId="0" applyNumberFormat="1" applyFont="1" applyFill="1" applyBorder="1" applyAlignment="1">
      <alignment vertical="top" wrapText="1"/>
    </xf>
    <xf numFmtId="4" fontId="1" fillId="3" borderId="1" xfId="0" applyNumberFormat="1" applyFont="1" applyFill="1" applyBorder="1" applyAlignment="1">
      <alignment horizontal="center" vertical="top" wrapText="1"/>
    </xf>
    <xf numFmtId="0" fontId="12" fillId="0" borderId="0" xfId="0" applyFont="1" applyFill="1" applyAlignment="1">
      <alignment horizontal="center" vertical="top" wrapText="1"/>
    </xf>
    <xf numFmtId="0" fontId="0" fillId="0" borderId="0" xfId="0" applyFill="1" applyAlignment="1">
      <alignment horizontal="left" vertical="top" wrapText="1"/>
    </xf>
    <xf numFmtId="0" fontId="0" fillId="0" borderId="0" xfId="0" applyFont="1" applyFill="1" applyAlignment="1">
      <alignment horizontal="left" vertical="top" wrapText="1"/>
    </xf>
  </cellXfs>
  <cellStyles count="3">
    <cellStyle name="Обычный" xfId="0" builtinId="0"/>
    <cellStyle name="Обычный_форма 128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1;&#1070;&#1044;&#1046;&#1045;&#1058;%202021-2023&#1043;.&#1043;/2.%20&#1042;&#1085;&#1077;&#1089;&#1077;&#1085;&#1080;&#1077;%20&#1080;&#1079;&#1084;&#1077;&#1085;&#1077;&#1085;&#1080;&#1081;%20(&#1055;&#1086;&#1089;&#1090;&#1072;&#1085;&#1086;&#1074;&#1083;&#1077;&#1085;&#1080;&#1077;%20&#1075;&#1083;&#1072;&#1074;&#1099;%20&#1040;&#1087;&#1088;&#1077;&#1083;&#1100;%202021)/&#1055;&#1088;&#1080;&#1083;&#1086;&#1078;&#1077;&#1085;&#1080;&#1077;%20&#8470;%201%20%20&#1059;&#1090;&#1086;&#1095;&#1085;&#1077;&#1085;&#1080;&#1077;%20&#1076;&#1086;&#1093;&#1086;&#1076;&#1086;&#1074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абл. 1"/>
    </sheetNames>
    <sheetDataSet>
      <sheetData sheetId="0" refreshError="1">
        <row r="11">
          <cell r="E11">
            <v>128184758.3</v>
          </cell>
        </row>
        <row r="12">
          <cell r="E12">
            <v>5498</v>
          </cell>
        </row>
        <row r="13">
          <cell r="E13">
            <v>468330</v>
          </cell>
        </row>
        <row r="14">
          <cell r="E14">
            <v>78586.2</v>
          </cell>
        </row>
        <row r="15">
          <cell r="E15">
            <v>584.4</v>
          </cell>
        </row>
        <row r="16">
          <cell r="E16">
            <v>1179</v>
          </cell>
        </row>
        <row r="17">
          <cell r="E17">
            <v>39293.1</v>
          </cell>
        </row>
        <row r="18">
          <cell r="E18">
            <v>298</v>
          </cell>
        </row>
        <row r="19">
          <cell r="E19">
            <v>1473</v>
          </cell>
        </row>
        <row r="22">
          <cell r="E22">
            <v>156843.28999999998</v>
          </cell>
        </row>
        <row r="23">
          <cell r="E23">
            <v>1035.4100000000001</v>
          </cell>
        </row>
        <row r="24">
          <cell r="E24">
            <v>303990.53999999998</v>
          </cell>
        </row>
        <row r="25">
          <cell r="E25">
            <v>-29167.34</v>
          </cell>
        </row>
        <row r="28">
          <cell r="E28">
            <v>2075360</v>
          </cell>
        </row>
        <row r="29">
          <cell r="E29">
            <v>44640</v>
          </cell>
        </row>
        <row r="31">
          <cell r="E31">
            <v>28148615.82</v>
          </cell>
        </row>
        <row r="32">
          <cell r="E32">
            <v>2542</v>
          </cell>
        </row>
        <row r="33">
          <cell r="E33">
            <v>3646934.48</v>
          </cell>
        </row>
        <row r="34">
          <cell r="E34">
            <v>579907.69999999995</v>
          </cell>
        </row>
        <row r="37">
          <cell r="E37">
            <v>265000</v>
          </cell>
        </row>
        <row r="41">
          <cell r="E41">
            <v>7544037.5599999996</v>
          </cell>
        </row>
        <row r="42">
          <cell r="E42">
            <v>755600</v>
          </cell>
        </row>
        <row r="44">
          <cell r="E44">
            <v>12576658.699999999</v>
          </cell>
        </row>
        <row r="46">
          <cell r="E46">
            <v>3125200</v>
          </cell>
        </row>
        <row r="49">
          <cell r="E49">
            <v>8840872.7400000002</v>
          </cell>
        </row>
        <row r="55">
          <cell r="E55">
            <v>140000</v>
          </cell>
        </row>
        <row r="58">
          <cell r="E58">
            <v>39500000</v>
          </cell>
        </row>
        <row r="59">
          <cell r="E59">
            <v>218395.4</v>
          </cell>
        </row>
        <row r="60">
          <cell r="E60">
            <v>709253</v>
          </cell>
        </row>
        <row r="61">
          <cell r="E61">
            <v>47000</v>
          </cell>
        </row>
        <row r="62">
          <cell r="E62">
            <v>3629600</v>
          </cell>
        </row>
        <row r="63">
          <cell r="E63">
            <v>3750040</v>
          </cell>
        </row>
        <row r="67">
          <cell r="E67">
            <v>-2826655.58</v>
          </cell>
        </row>
        <row r="68">
          <cell r="E68">
            <v>242635703.72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8"/>
  <sheetViews>
    <sheetView tabSelected="1" view="pageBreakPreview" topLeftCell="B1" zoomScaleNormal="100" zoomScaleSheetLayoutView="100" workbookViewId="0">
      <selection activeCell="H4" sqref="H4:I4"/>
    </sheetView>
  </sheetViews>
  <sheetFormatPr defaultRowHeight="12.75"/>
  <cols>
    <col min="1" max="1" width="34.83203125" customWidth="1"/>
    <col min="2" max="2" width="56.5" customWidth="1"/>
    <col min="3" max="3" width="17.6640625" hidden="1" customWidth="1"/>
    <col min="4" max="5" width="20.83203125" hidden="1" customWidth="1"/>
    <col min="6" max="6" width="18" customWidth="1"/>
    <col min="7" max="7" width="17.6640625" customWidth="1"/>
    <col min="8" max="8" width="18.83203125" customWidth="1"/>
    <col min="9" max="9" width="16.1640625" style="27" customWidth="1"/>
    <col min="10" max="10" width="20.6640625" customWidth="1"/>
  </cols>
  <sheetData>
    <row r="1" spans="1:9">
      <c r="H1" s="113" t="s">
        <v>141</v>
      </c>
    </row>
    <row r="2" spans="1:9" ht="6.75" customHeight="1"/>
    <row r="3" spans="1:9">
      <c r="H3" s="113" t="s">
        <v>142</v>
      </c>
    </row>
    <row r="4" spans="1:9" ht="25.5" customHeight="1">
      <c r="H4" s="134" t="s">
        <v>157</v>
      </c>
      <c r="I4" s="135"/>
    </row>
    <row r="5" spans="1:9" ht="15" customHeight="1">
      <c r="A5" s="48"/>
      <c r="B5" s="48"/>
      <c r="C5" s="48"/>
      <c r="D5" s="49"/>
      <c r="E5" s="49"/>
      <c r="F5" s="48"/>
      <c r="G5" s="48"/>
      <c r="H5" s="48"/>
      <c r="I5" s="124"/>
    </row>
    <row r="6" spans="1:9" ht="16.5" customHeight="1">
      <c r="A6" s="133" t="s">
        <v>156</v>
      </c>
      <c r="B6" s="133"/>
      <c r="C6" s="133"/>
      <c r="D6" s="133"/>
      <c r="E6" s="133"/>
      <c r="F6" s="133"/>
      <c r="G6" s="133"/>
      <c r="H6" s="133"/>
      <c r="I6" s="133"/>
    </row>
    <row r="7" spans="1:9" ht="21" customHeight="1">
      <c r="A7" s="42"/>
      <c r="B7" s="44"/>
      <c r="C7" s="47"/>
      <c r="D7" s="47"/>
      <c r="E7" s="47"/>
      <c r="G7" s="114">
        <f>(G13+G24+G39)*100/G9</f>
        <v>67.728272233908967</v>
      </c>
    </row>
    <row r="8" spans="1:9" ht="79.5" customHeight="1">
      <c r="A8" s="21" t="s">
        <v>1</v>
      </c>
      <c r="B8" s="77" t="s">
        <v>2</v>
      </c>
      <c r="C8" s="21" t="s">
        <v>90</v>
      </c>
      <c r="D8" s="21" t="s">
        <v>89</v>
      </c>
      <c r="E8" s="21" t="s">
        <v>148</v>
      </c>
      <c r="F8" s="45" t="s">
        <v>149</v>
      </c>
      <c r="G8" s="45" t="s">
        <v>150</v>
      </c>
      <c r="H8" s="45" t="s">
        <v>86</v>
      </c>
      <c r="I8" s="45" t="s">
        <v>85</v>
      </c>
    </row>
    <row r="9" spans="1:9" ht="14.45" customHeight="1">
      <c r="A9" s="99" t="s">
        <v>0</v>
      </c>
      <c r="B9" s="78" t="s">
        <v>3</v>
      </c>
      <c r="C9" s="20">
        <f>C10+C42</f>
        <v>182594971.30000001</v>
      </c>
      <c r="D9" s="33">
        <f t="shared" ref="D9" si="0">D10+D42</f>
        <v>761556.44</v>
      </c>
      <c r="E9" s="37">
        <f>E10+E42</f>
        <v>197608070.90000001</v>
      </c>
      <c r="F9" s="37">
        <f>F10+F42</f>
        <v>96170811.969999999</v>
      </c>
      <c r="G9" s="37">
        <f>G10+G42</f>
        <v>92564613.480000004</v>
      </c>
      <c r="H9" s="37">
        <f>H10+H42</f>
        <v>-3778461.3999999939</v>
      </c>
      <c r="I9" s="55">
        <f>G9/F9*100</f>
        <v>96.250215199259287</v>
      </c>
    </row>
    <row r="10" spans="1:9" ht="14.45" customHeight="1">
      <c r="A10" s="100" t="s">
        <v>0</v>
      </c>
      <c r="B10" s="79" t="s">
        <v>4</v>
      </c>
      <c r="C10" s="56">
        <f>C11+C24+C30+C39</f>
        <v>150862510.87</v>
      </c>
      <c r="D10" s="56">
        <f t="shared" ref="D10" si="1">D11+D24+D30+D39</f>
        <v>0</v>
      </c>
      <c r="E10" s="57">
        <f>E11+E24+E30+E39</f>
        <v>163975701.90000001</v>
      </c>
      <c r="F10" s="57">
        <f>F11+F24+F30+F39</f>
        <v>79300416.810000002</v>
      </c>
      <c r="G10" s="57">
        <f>G11+G24+G30+G39</f>
        <v>77713020.219999999</v>
      </c>
      <c r="H10" s="57">
        <f>H11+H24+H30+H39</f>
        <v>-1622841.109999994</v>
      </c>
      <c r="I10" s="58">
        <f>G10/F10*100</f>
        <v>97.998249373892534</v>
      </c>
    </row>
    <row r="11" spans="1:9" ht="14.45" customHeight="1">
      <c r="A11" s="21" t="s">
        <v>5</v>
      </c>
      <c r="B11" s="78" t="s">
        <v>6</v>
      </c>
      <c r="C11" s="1">
        <f>C12</f>
        <v>128645097</v>
      </c>
      <c r="D11" s="13">
        <f t="shared" ref="D11:H12" si="2">D12</f>
        <v>0</v>
      </c>
      <c r="E11" s="5">
        <f t="shared" si="2"/>
        <v>128780000</v>
      </c>
      <c r="F11" s="5">
        <f t="shared" si="2"/>
        <v>64267552.549999997</v>
      </c>
      <c r="G11" s="5">
        <f t="shared" si="2"/>
        <v>62346832.879999995</v>
      </c>
      <c r="H11" s="5">
        <f t="shared" si="2"/>
        <v>-1920735.6499999943</v>
      </c>
      <c r="I11" s="52"/>
    </row>
    <row r="12" spans="1:9" ht="28.9" customHeight="1">
      <c r="A12" s="21" t="s">
        <v>7</v>
      </c>
      <c r="B12" s="78" t="s">
        <v>8</v>
      </c>
      <c r="C12" s="1">
        <f>C13</f>
        <v>128645097</v>
      </c>
      <c r="D12" s="13">
        <f t="shared" si="2"/>
        <v>0</v>
      </c>
      <c r="E12" s="5">
        <f>E13</f>
        <v>128780000</v>
      </c>
      <c r="F12" s="5">
        <f>F13</f>
        <v>64267552.549999997</v>
      </c>
      <c r="G12" s="5">
        <f t="shared" si="2"/>
        <v>62346832.879999995</v>
      </c>
      <c r="H12" s="5">
        <f t="shared" si="2"/>
        <v>-1920735.6499999943</v>
      </c>
      <c r="I12" s="52"/>
    </row>
    <row r="13" spans="1:9" ht="14.25" customHeight="1">
      <c r="A13" s="115" t="s">
        <v>9</v>
      </c>
      <c r="B13" s="80" t="s">
        <v>10</v>
      </c>
      <c r="C13" s="39">
        <f>C14+C15+C17+C18+C19+C20+C21+C22+C23</f>
        <v>128645097</v>
      </c>
      <c r="D13" s="40"/>
      <c r="E13" s="41">
        <f>E14+E15+E17+E18+E19+E20+E21+E22+E23</f>
        <v>128780000</v>
      </c>
      <c r="F13" s="41">
        <f>F14+F15+F17+F18+F19+F20+F21+F22+F23</f>
        <v>64267552.549999997</v>
      </c>
      <c r="G13" s="41">
        <f>G14+G15+G17+G18+G19+G20+G21+G22+G23+G16</f>
        <v>62346832.879999995</v>
      </c>
      <c r="H13" s="41">
        <f t="shared" ref="H13" si="3">H14+H15+H17+H18+H19+H20+H21+H22+H23+H16</f>
        <v>-1920735.6499999943</v>
      </c>
      <c r="I13" s="132">
        <f>G13/F13*100</f>
        <v>97.011369511067528</v>
      </c>
    </row>
    <row r="14" spans="1:9" ht="87.75" customHeight="1">
      <c r="A14" s="101" t="s">
        <v>91</v>
      </c>
      <c r="B14" s="31" t="s">
        <v>92</v>
      </c>
      <c r="C14" s="63">
        <v>128006425</v>
      </c>
      <c r="D14" s="30"/>
      <c r="E14" s="4">
        <f>'[1]Табл. 1'!$E$11</f>
        <v>128184758.3</v>
      </c>
      <c r="F14" s="4">
        <v>63955012.909999996</v>
      </c>
      <c r="G14" s="4">
        <v>62028813.670000002</v>
      </c>
      <c r="H14" s="4">
        <f>G14-F14</f>
        <v>-1926199.2399999946</v>
      </c>
      <c r="I14" s="52"/>
    </row>
    <row r="15" spans="1:9" ht="76.5" customHeight="1">
      <c r="A15" s="101" t="s">
        <v>93</v>
      </c>
      <c r="B15" s="31" t="s">
        <v>94</v>
      </c>
      <c r="C15" s="63">
        <v>5900</v>
      </c>
      <c r="D15" s="30"/>
      <c r="E15" s="4">
        <f>'[1]Табл. 1'!$E$12</f>
        <v>5498</v>
      </c>
      <c r="F15" s="4">
        <f>1386.6*2</f>
        <v>2773.2</v>
      </c>
      <c r="G15" s="4">
        <v>2239.98</v>
      </c>
      <c r="H15" s="4">
        <f t="shared" ref="H15:H23" si="4">G15-F15</f>
        <v>-533.2199999999998</v>
      </c>
      <c r="I15" s="52"/>
    </row>
    <row r="16" spans="1:9" ht="76.5" customHeight="1">
      <c r="A16" s="101" t="s">
        <v>152</v>
      </c>
      <c r="B16" s="31" t="s">
        <v>153</v>
      </c>
      <c r="C16" s="63"/>
      <c r="D16" s="30"/>
      <c r="E16" s="4"/>
      <c r="F16" s="4">
        <v>0</v>
      </c>
      <c r="G16" s="4">
        <v>15.98</v>
      </c>
      <c r="H16" s="4"/>
      <c r="I16" s="52"/>
    </row>
    <row r="17" spans="1:9" ht="101.25" customHeight="1">
      <c r="A17" s="101" t="s">
        <v>151</v>
      </c>
      <c r="B17" s="31" t="s">
        <v>95</v>
      </c>
      <c r="C17" s="63">
        <v>502500</v>
      </c>
      <c r="D17" s="30"/>
      <c r="E17" s="4">
        <f>'[1]Табл. 1'!$E$13</f>
        <v>468330</v>
      </c>
      <c r="F17" s="4">
        <f>118112*2</f>
        <v>236224</v>
      </c>
      <c r="G17" s="4">
        <v>99769.23</v>
      </c>
      <c r="H17" s="4">
        <f t="shared" si="4"/>
        <v>-136454.77000000002</v>
      </c>
      <c r="I17" s="52"/>
    </row>
    <row r="18" spans="1:9" ht="89.25" customHeight="1">
      <c r="A18" s="101" t="s">
        <v>96</v>
      </c>
      <c r="B18" s="31" t="s">
        <v>97</v>
      </c>
      <c r="C18" s="63">
        <v>84320</v>
      </c>
      <c r="D18" s="30"/>
      <c r="E18" s="4">
        <f>'[1]Табл. 1'!$E$14</f>
        <v>78586.2</v>
      </c>
      <c r="F18" s="4">
        <f>25970*2</f>
        <v>51940</v>
      </c>
      <c r="G18" s="4">
        <v>86324.1</v>
      </c>
      <c r="H18" s="4">
        <f t="shared" si="4"/>
        <v>34384.100000000006</v>
      </c>
      <c r="I18" s="52"/>
    </row>
    <row r="19" spans="1:9" ht="114" customHeight="1">
      <c r="A19" s="101" t="s">
        <v>98</v>
      </c>
      <c r="B19" s="31" t="s">
        <v>99</v>
      </c>
      <c r="C19" s="63">
        <v>627</v>
      </c>
      <c r="D19" s="30"/>
      <c r="E19" s="4">
        <f>'[1]Табл. 1'!$E$15</f>
        <v>584.4</v>
      </c>
      <c r="F19" s="4">
        <f>147.39*2</f>
        <v>294.77999999999997</v>
      </c>
      <c r="G19" s="4">
        <v>489.24</v>
      </c>
      <c r="H19" s="4">
        <f t="shared" si="4"/>
        <v>194.46000000000004</v>
      </c>
      <c r="I19" s="52"/>
    </row>
    <row r="20" spans="1:9" ht="98.25" customHeight="1">
      <c r="A20" s="101" t="s">
        <v>100</v>
      </c>
      <c r="B20" s="31" t="s">
        <v>101</v>
      </c>
      <c r="C20" s="63">
        <v>1265</v>
      </c>
      <c r="D20" s="30"/>
      <c r="E20" s="4">
        <f>'[1]Табл. 1'!$E$16</f>
        <v>1179</v>
      </c>
      <c r="F20" s="4">
        <f>297.34*2</f>
        <v>594.67999999999995</v>
      </c>
      <c r="G20" s="4">
        <v>1009.8</v>
      </c>
      <c r="H20" s="4">
        <f t="shared" si="4"/>
        <v>415.12</v>
      </c>
      <c r="I20" s="52"/>
    </row>
    <row r="21" spans="1:9" ht="69" customHeight="1">
      <c r="A21" s="101" t="s">
        <v>102</v>
      </c>
      <c r="B21" s="31" t="s">
        <v>103</v>
      </c>
      <c r="C21" s="63">
        <v>42160</v>
      </c>
      <c r="D21" s="30"/>
      <c r="E21" s="4">
        <f>'[1]Табл. 1'!$E$17</f>
        <v>39293.1</v>
      </c>
      <c r="F21" s="4">
        <f>9910*2</f>
        <v>19820</v>
      </c>
      <c r="G21" s="4">
        <v>127003.63</v>
      </c>
      <c r="H21" s="4">
        <f t="shared" si="4"/>
        <v>107183.63</v>
      </c>
      <c r="I21" s="52"/>
    </row>
    <row r="22" spans="1:9" ht="50.25" customHeight="1">
      <c r="A22" s="101" t="s">
        <v>104</v>
      </c>
      <c r="B22" s="31" t="s">
        <v>105</v>
      </c>
      <c r="C22" s="63">
        <v>320</v>
      </c>
      <c r="D22" s="30"/>
      <c r="E22" s="4">
        <f>'[1]Табл. 1'!$E$18</f>
        <v>298</v>
      </c>
      <c r="F22" s="4">
        <v>150</v>
      </c>
      <c r="G22" s="4">
        <v>1017.25</v>
      </c>
      <c r="H22" s="4">
        <f t="shared" si="4"/>
        <v>867.25</v>
      </c>
      <c r="I22" s="52"/>
    </row>
    <row r="23" spans="1:9" ht="83.25" customHeight="1">
      <c r="A23" s="101" t="s">
        <v>106</v>
      </c>
      <c r="B23" s="31" t="s">
        <v>107</v>
      </c>
      <c r="C23" s="63">
        <v>1580</v>
      </c>
      <c r="D23" s="30"/>
      <c r="E23" s="4">
        <f>'[1]Табл. 1'!$E$19</f>
        <v>1473</v>
      </c>
      <c r="F23" s="4">
        <f>371.49*2</f>
        <v>742.98</v>
      </c>
      <c r="G23" s="4">
        <v>150</v>
      </c>
      <c r="H23" s="4">
        <f t="shared" si="4"/>
        <v>-592.98</v>
      </c>
      <c r="I23" s="52"/>
    </row>
    <row r="24" spans="1:9" ht="28.9" customHeight="1">
      <c r="A24" s="21" t="s">
        <v>11</v>
      </c>
      <c r="B24" s="78" t="s">
        <v>12</v>
      </c>
      <c r="C24" s="64">
        <f>C25</f>
        <v>481522.66000000003</v>
      </c>
      <c r="D24" s="2">
        <f t="shared" ref="D24:G24" si="5">D25</f>
        <v>0</v>
      </c>
      <c r="E24" s="7">
        <f t="shared" si="5"/>
        <v>432701.89999999997</v>
      </c>
      <c r="F24" s="7">
        <f t="shared" si="5"/>
        <v>196666.26</v>
      </c>
      <c r="G24" s="7">
        <f t="shared" si="5"/>
        <v>214380.53</v>
      </c>
      <c r="H24" s="123">
        <f t="shared" ref="H24" si="6">F24-G24</f>
        <v>-17714.26999999999</v>
      </c>
      <c r="I24" s="55">
        <f>G24/F24*100</f>
        <v>109.00727455741519</v>
      </c>
    </row>
    <row r="25" spans="1:9" ht="28.9" customHeight="1">
      <c r="A25" s="115" t="s">
        <v>13</v>
      </c>
      <c r="B25" s="81" t="s">
        <v>12</v>
      </c>
      <c r="C25" s="63">
        <f>C26+C27+C28+C29</f>
        <v>481522.66000000003</v>
      </c>
      <c r="D25" s="6"/>
      <c r="E25" s="63">
        <f>E26+E27+E28+E29</f>
        <v>432701.89999999997</v>
      </c>
      <c r="F25" s="63">
        <f>F26+F27+F28+F29</f>
        <v>196666.26</v>
      </c>
      <c r="G25" s="63">
        <f>G26+G27+G28+G29</f>
        <v>214380.53</v>
      </c>
      <c r="H25" s="4">
        <f>G25-F25</f>
        <v>17714.26999999999</v>
      </c>
      <c r="I25" s="52"/>
    </row>
    <row r="26" spans="1:9" ht="67.5" customHeight="1">
      <c r="A26" s="116" t="s">
        <v>117</v>
      </c>
      <c r="B26" s="82" t="s">
        <v>118</v>
      </c>
      <c r="C26" s="63">
        <v>220650.51</v>
      </c>
      <c r="D26" s="30"/>
      <c r="E26" s="63">
        <f>'[1]Табл. 1'!$E$22</f>
        <v>156843.28999999998</v>
      </c>
      <c r="F26" s="63">
        <f>37513.15+36573.35</f>
        <v>74086.5</v>
      </c>
      <c r="G26" s="22">
        <v>96944.02</v>
      </c>
      <c r="H26" s="4">
        <f t="shared" ref="H26:H29" si="7">G26-F26</f>
        <v>22857.520000000004</v>
      </c>
      <c r="I26" s="52"/>
    </row>
    <row r="27" spans="1:9" ht="82.5" customHeight="1">
      <c r="A27" s="116" t="s">
        <v>119</v>
      </c>
      <c r="B27" s="83" t="s">
        <v>120</v>
      </c>
      <c r="C27" s="63">
        <v>1136.54</v>
      </c>
      <c r="D27" s="30"/>
      <c r="E27" s="63">
        <f>'[1]Табл. 1'!$E$23</f>
        <v>1035.4100000000001</v>
      </c>
      <c r="F27" s="63">
        <f>241.82+234</f>
        <v>475.82</v>
      </c>
      <c r="G27" s="22">
        <v>730.28</v>
      </c>
      <c r="H27" s="4">
        <f t="shared" si="7"/>
        <v>254.45999999999998</v>
      </c>
      <c r="I27" s="52"/>
    </row>
    <row r="28" spans="1:9" ht="66" customHeight="1">
      <c r="A28" s="116" t="s">
        <v>121</v>
      </c>
      <c r="B28" s="84" t="s">
        <v>122</v>
      </c>
      <c r="C28" s="63">
        <v>288211.01</v>
      </c>
      <c r="D28" s="30"/>
      <c r="E28" s="63">
        <f>'[1]Табл. 1'!$E$24</f>
        <v>303990.53999999998</v>
      </c>
      <c r="F28" s="63">
        <f>72891.67+63780.21</f>
        <v>136671.88</v>
      </c>
      <c r="G28" s="22">
        <v>134801.5</v>
      </c>
      <c r="H28" s="4">
        <f t="shared" si="7"/>
        <v>-1870.3800000000047</v>
      </c>
      <c r="I28" s="52"/>
    </row>
    <row r="29" spans="1:9" ht="74.25" customHeight="1">
      <c r="A29" s="116" t="s">
        <v>123</v>
      </c>
      <c r="B29" s="84" t="s">
        <v>124</v>
      </c>
      <c r="C29" s="63">
        <v>-28475.4</v>
      </c>
      <c r="D29" s="30"/>
      <c r="E29" s="63">
        <f>'[1]Табл. 1'!$E$25</f>
        <v>-29167.34</v>
      </c>
      <c r="F29" s="63">
        <f>-7283.97+(-7283.97)</f>
        <v>-14567.94</v>
      </c>
      <c r="G29" s="22">
        <v>-18095.27</v>
      </c>
      <c r="H29" s="4">
        <f t="shared" si="7"/>
        <v>-3527.33</v>
      </c>
      <c r="I29" s="52"/>
    </row>
    <row r="30" spans="1:9" ht="14.45" customHeight="1">
      <c r="A30" s="21" t="s">
        <v>14</v>
      </c>
      <c r="B30" s="78" t="s">
        <v>15</v>
      </c>
      <c r="C30" s="65">
        <f>C31+C34</f>
        <v>21470291.210000001</v>
      </c>
      <c r="D30" s="1">
        <f t="shared" ref="D30" si="8">D31+D34</f>
        <v>0</v>
      </c>
      <c r="E30" s="5">
        <f>E31+E34</f>
        <v>34498000</v>
      </c>
      <c r="F30" s="5">
        <f>F31+F34</f>
        <v>14703700</v>
      </c>
      <c r="G30" s="5">
        <f>G31+G34</f>
        <v>15020606.810000001</v>
      </c>
      <c r="H30" s="5">
        <f>H31+H34</f>
        <v>316906.81000000035</v>
      </c>
      <c r="I30" s="55">
        <f>G30/F30*100</f>
        <v>102.15528615246502</v>
      </c>
    </row>
    <row r="31" spans="1:9" ht="14.45" customHeight="1">
      <c r="A31" s="21" t="s">
        <v>16</v>
      </c>
      <c r="B31" s="80" t="s">
        <v>17</v>
      </c>
      <c r="C31" s="39">
        <f>C32+C33</f>
        <v>1899000</v>
      </c>
      <c r="D31" s="39">
        <f t="shared" ref="D31" si="9">D32+D33</f>
        <v>0</v>
      </c>
      <c r="E31" s="41">
        <f>E32+E33</f>
        <v>2120000</v>
      </c>
      <c r="F31" s="41">
        <f>F32+F33</f>
        <v>367000</v>
      </c>
      <c r="G31" s="41">
        <f>G32+G33</f>
        <v>464205.69</v>
      </c>
      <c r="H31" s="41">
        <f>H32+H33</f>
        <v>97205.690000000017</v>
      </c>
      <c r="I31" s="112">
        <f>G31/F31*100</f>
        <v>126.48656403269756</v>
      </c>
    </row>
    <row r="32" spans="1:9" ht="43.35" customHeight="1">
      <c r="A32" s="115" t="s">
        <v>18</v>
      </c>
      <c r="B32" s="81" t="s">
        <v>19</v>
      </c>
      <c r="C32" s="63">
        <v>1859000</v>
      </c>
      <c r="D32" s="6"/>
      <c r="E32" s="63">
        <f>'[1]Табл. 1'!$E$28</f>
        <v>2075360</v>
      </c>
      <c r="F32" s="63">
        <f>220000+125000</f>
        <v>345000</v>
      </c>
      <c r="G32" s="4">
        <v>442510.77</v>
      </c>
      <c r="H32" s="4">
        <f>G32-F32</f>
        <v>97510.770000000019</v>
      </c>
      <c r="I32" s="52"/>
    </row>
    <row r="33" spans="1:9" ht="51.75" customHeight="1">
      <c r="A33" s="116" t="s">
        <v>108</v>
      </c>
      <c r="B33" s="31" t="s">
        <v>109</v>
      </c>
      <c r="C33" s="63">
        <v>40000</v>
      </c>
      <c r="D33" s="30"/>
      <c r="E33" s="63">
        <f>'[1]Табл. 1'!$E$29</f>
        <v>44640</v>
      </c>
      <c r="F33" s="63">
        <f>9000+13000</f>
        <v>22000</v>
      </c>
      <c r="G33" s="4">
        <v>21694.92</v>
      </c>
      <c r="H33" s="4">
        <f>G33-F33</f>
        <v>-305.08000000000175</v>
      </c>
      <c r="I33" s="52"/>
    </row>
    <row r="34" spans="1:9" ht="14.45" customHeight="1">
      <c r="A34" s="21" t="s">
        <v>20</v>
      </c>
      <c r="B34" s="80" t="s">
        <v>21</v>
      </c>
      <c r="C34" s="39">
        <f>C35+C36+C37+C38</f>
        <v>19571291.210000001</v>
      </c>
      <c r="D34" s="39">
        <f t="shared" ref="D34:H34" si="10">D35+D36+D37+D38</f>
        <v>0</v>
      </c>
      <c r="E34" s="39">
        <f t="shared" ref="E34" si="11">E35+E36+E37+E38</f>
        <v>32378000</v>
      </c>
      <c r="F34" s="39">
        <f t="shared" si="10"/>
        <v>14336700</v>
      </c>
      <c r="G34" s="39">
        <f t="shared" si="10"/>
        <v>14556401.120000001</v>
      </c>
      <c r="H34" s="39">
        <f t="shared" si="10"/>
        <v>219701.12000000032</v>
      </c>
      <c r="I34" s="112">
        <f>G34/F34*100</f>
        <v>101.53243856675527</v>
      </c>
    </row>
    <row r="35" spans="1:9" ht="35.25" customHeight="1">
      <c r="A35" s="116" t="s">
        <v>110</v>
      </c>
      <c r="B35" s="81" t="s">
        <v>22</v>
      </c>
      <c r="C35" s="63">
        <v>17032341.210000001</v>
      </c>
      <c r="D35" s="6"/>
      <c r="E35" s="63">
        <f>'[1]Табл. 1'!$E$31</f>
        <v>28148615.82</v>
      </c>
      <c r="F35" s="63">
        <f>7006500+7004000</f>
        <v>14010500</v>
      </c>
      <c r="G35" s="4">
        <v>14400173.82</v>
      </c>
      <c r="H35" s="4">
        <f>G35-F35</f>
        <v>389673.8200000003</v>
      </c>
      <c r="I35" s="52"/>
    </row>
    <row r="36" spans="1:9" ht="41.25" customHeight="1">
      <c r="A36" s="116" t="s">
        <v>111</v>
      </c>
      <c r="B36" s="31" t="s">
        <v>112</v>
      </c>
      <c r="C36" s="63">
        <v>1500</v>
      </c>
      <c r="D36" s="30"/>
      <c r="E36" s="63">
        <f>'[1]Табл. 1'!$E$32</f>
        <v>2542</v>
      </c>
      <c r="F36" s="63">
        <v>1000</v>
      </c>
      <c r="G36" s="4">
        <v>504.4</v>
      </c>
      <c r="H36" s="4">
        <f t="shared" ref="H36:H38" si="12">G36-F36</f>
        <v>-495.6</v>
      </c>
      <c r="I36" s="52"/>
    </row>
    <row r="37" spans="1:9" ht="54" customHeight="1">
      <c r="A37" s="116" t="s">
        <v>113</v>
      </c>
      <c r="B37" s="31" t="s">
        <v>114</v>
      </c>
      <c r="C37" s="63">
        <f>342300+2195150</f>
        <v>2537450</v>
      </c>
      <c r="D37" s="30"/>
      <c r="E37" s="63">
        <f>'[1]Табл. 1'!$E$33</f>
        <v>3646934.48</v>
      </c>
      <c r="F37" s="63">
        <f>42000+90000+193200</f>
        <v>325200</v>
      </c>
      <c r="G37" s="4">
        <v>153419</v>
      </c>
      <c r="H37" s="4">
        <f t="shared" si="12"/>
        <v>-171781</v>
      </c>
      <c r="I37" s="52"/>
    </row>
    <row r="38" spans="1:9" ht="45.75" customHeight="1">
      <c r="A38" s="116" t="s">
        <v>115</v>
      </c>
      <c r="B38" s="31" t="s">
        <v>116</v>
      </c>
      <c r="C38" s="63">
        <v>0</v>
      </c>
      <c r="D38" s="30"/>
      <c r="E38" s="63">
        <f>'[1]Табл. 1'!$E$34</f>
        <v>579907.69999999995</v>
      </c>
      <c r="F38" s="63">
        <v>0</v>
      </c>
      <c r="G38" s="61">
        <v>2303.9</v>
      </c>
      <c r="H38" s="4">
        <f t="shared" si="12"/>
        <v>2303.9</v>
      </c>
      <c r="I38" s="52"/>
    </row>
    <row r="39" spans="1:9" ht="14.45" customHeight="1">
      <c r="A39" s="21" t="s">
        <v>23</v>
      </c>
      <c r="B39" s="80" t="s">
        <v>24</v>
      </c>
      <c r="C39" s="39">
        <f>C40</f>
        <v>265600</v>
      </c>
      <c r="D39" s="39">
        <f t="shared" ref="D39:H40" si="13">D40</f>
        <v>0</v>
      </c>
      <c r="E39" s="41">
        <f t="shared" si="13"/>
        <v>265000</v>
      </c>
      <c r="F39" s="41">
        <f t="shared" si="13"/>
        <v>132498</v>
      </c>
      <c r="G39" s="41">
        <f t="shared" si="13"/>
        <v>131200</v>
      </c>
      <c r="H39" s="41">
        <f t="shared" si="13"/>
        <v>-1298</v>
      </c>
      <c r="I39" s="112">
        <f>G39/F39*100</f>
        <v>99.020362571510518</v>
      </c>
    </row>
    <row r="40" spans="1:9" ht="28.9" customHeight="1">
      <c r="A40" s="21" t="s">
        <v>25</v>
      </c>
      <c r="B40" s="78" t="s">
        <v>26</v>
      </c>
      <c r="C40" s="65">
        <f>C41</f>
        <v>265600</v>
      </c>
      <c r="D40" s="1">
        <f t="shared" si="13"/>
        <v>0</v>
      </c>
      <c r="E40" s="5">
        <f t="shared" si="13"/>
        <v>265000</v>
      </c>
      <c r="F40" s="5">
        <f t="shared" si="13"/>
        <v>132498</v>
      </c>
      <c r="G40" s="5">
        <f t="shared" si="13"/>
        <v>131200</v>
      </c>
      <c r="H40" s="5">
        <f t="shared" si="13"/>
        <v>-1298</v>
      </c>
      <c r="I40" s="52"/>
    </row>
    <row r="41" spans="1:9" ht="87.75" customHeight="1">
      <c r="A41" s="115" t="s">
        <v>27</v>
      </c>
      <c r="B41" s="81" t="s">
        <v>28</v>
      </c>
      <c r="C41" s="63">
        <v>265600</v>
      </c>
      <c r="D41" s="6"/>
      <c r="E41" s="4">
        <f>'[1]Табл. 1'!$E$37</f>
        <v>265000</v>
      </c>
      <c r="F41" s="4">
        <f>66249+66249</f>
        <v>132498</v>
      </c>
      <c r="G41" s="4">
        <v>131200</v>
      </c>
      <c r="H41" s="71">
        <f>G41-F41</f>
        <v>-1298</v>
      </c>
      <c r="I41" s="52"/>
    </row>
    <row r="42" spans="1:9" ht="14.45" customHeight="1">
      <c r="A42" s="120" t="s">
        <v>0</v>
      </c>
      <c r="B42" s="79" t="s">
        <v>29</v>
      </c>
      <c r="C42" s="56">
        <f>C43+C51+C54+C63+C59+C58+C62</f>
        <v>31732460.43</v>
      </c>
      <c r="D42" s="56">
        <f>D43+D51+D54+D63+D59+D58+D62</f>
        <v>761556.44</v>
      </c>
      <c r="E42" s="56">
        <f>E43+E51+E54+E63+E59+E58+E62</f>
        <v>33632369</v>
      </c>
      <c r="F42" s="56">
        <f>F43+F51+F54+F63+F59+F58+F62</f>
        <v>16870395.16</v>
      </c>
      <c r="G42" s="56">
        <f>G43+G51+G54+G63+G59+G58+G62+G60+G61</f>
        <v>14851593.260000002</v>
      </c>
      <c r="H42" s="56">
        <f>H43+H51+H54+H63+H59+H58+H62</f>
        <v>-2155620.29</v>
      </c>
      <c r="I42" s="75">
        <f>G42/F42*100</f>
        <v>88.033464060245521</v>
      </c>
    </row>
    <row r="43" spans="1:9" ht="43.35" customHeight="1">
      <c r="A43" s="21" t="s">
        <v>30</v>
      </c>
      <c r="B43" s="78" t="s">
        <v>31</v>
      </c>
      <c r="C43" s="1">
        <f>C44+C48</f>
        <v>21997280.93</v>
      </c>
      <c r="D43" s="1">
        <f t="shared" ref="D43" si="14">D44+D48</f>
        <v>384734</v>
      </c>
      <c r="E43" s="5">
        <f>E44+E48</f>
        <v>24001496.259999998</v>
      </c>
      <c r="F43" s="5">
        <f>F44+F48</f>
        <v>13049000.83</v>
      </c>
      <c r="G43" s="5">
        <f>G44+G48</f>
        <v>11926599.82</v>
      </c>
      <c r="H43" s="13">
        <f>H44+H48</f>
        <v>-1122401.0100000002</v>
      </c>
      <c r="I43" s="52"/>
    </row>
    <row r="44" spans="1:9" ht="78.75" customHeight="1">
      <c r="A44" s="21" t="s">
        <v>32</v>
      </c>
      <c r="B44" s="78" t="s">
        <v>33</v>
      </c>
      <c r="C44" s="2">
        <f>C45+C46+C47</f>
        <v>18946342.039999999</v>
      </c>
      <c r="D44" s="2">
        <f t="shared" ref="D44" si="15">D45+D46+D47</f>
        <v>384734</v>
      </c>
      <c r="E44" s="7">
        <f>E45+E46+E47</f>
        <v>20876296.259999998</v>
      </c>
      <c r="F44" s="7">
        <f>F45+F46+F47</f>
        <v>9517800</v>
      </c>
      <c r="G44" s="7">
        <f>G45+G46+G47</f>
        <v>8128229.1499999994</v>
      </c>
      <c r="H44" s="72">
        <f>H45+H46+H47</f>
        <v>-1389570.8500000003</v>
      </c>
      <c r="I44" s="76">
        <f t="shared" ref="I44:I50" si="16">G44/F44*100</f>
        <v>85.400293660299639</v>
      </c>
    </row>
    <row r="45" spans="1:9" ht="72.599999999999994" customHeight="1">
      <c r="A45" s="115" t="s">
        <v>34</v>
      </c>
      <c r="B45" s="81" t="s">
        <v>35</v>
      </c>
      <c r="C45" s="63">
        <v>6721000</v>
      </c>
      <c r="D45" s="6"/>
      <c r="E45" s="63">
        <f>'[1]Табл. 1'!$E$41</f>
        <v>7544037.5599999996</v>
      </c>
      <c r="F45" s="63">
        <f>1600000+2000000</f>
        <v>3600000</v>
      </c>
      <c r="G45" s="4">
        <v>3237437.32</v>
      </c>
      <c r="H45" s="71">
        <f>G45-F45</f>
        <v>-362562.68000000017</v>
      </c>
      <c r="I45" s="76">
        <f t="shared" si="16"/>
        <v>89.928814444444441</v>
      </c>
    </row>
    <row r="46" spans="1:9" ht="72.599999999999994" customHeight="1">
      <c r="A46" s="115" t="s">
        <v>36</v>
      </c>
      <c r="B46" s="81" t="s">
        <v>37</v>
      </c>
      <c r="C46" s="63">
        <v>478973.34</v>
      </c>
      <c r="D46" s="6"/>
      <c r="E46" s="63">
        <f>'[1]Табл. 1'!$E$42</f>
        <v>755600</v>
      </c>
      <c r="F46" s="63">
        <f>188900+188900</f>
        <v>377800</v>
      </c>
      <c r="G46" s="4">
        <v>30727.78</v>
      </c>
      <c r="H46" s="71">
        <f t="shared" ref="H46:H47" si="17">G46-F46</f>
        <v>-347072.22</v>
      </c>
      <c r="I46" s="76">
        <f t="shared" si="16"/>
        <v>8.1333456855479085</v>
      </c>
    </row>
    <row r="47" spans="1:9" ht="39.75" customHeight="1">
      <c r="A47" s="116" t="s">
        <v>125</v>
      </c>
      <c r="B47" s="3" t="s">
        <v>143</v>
      </c>
      <c r="C47" s="63">
        <v>11746368.699999999</v>
      </c>
      <c r="D47" s="19">
        <f>863727-478993</f>
        <v>384734</v>
      </c>
      <c r="E47" s="63">
        <f>'[1]Табл. 1'!$E$44</f>
        <v>12576658.699999999</v>
      </c>
      <c r="F47" s="63">
        <f>2396000+3144000</f>
        <v>5540000</v>
      </c>
      <c r="G47" s="4">
        <v>4860064.05</v>
      </c>
      <c r="H47" s="71">
        <f t="shared" si="17"/>
        <v>-679935.95000000019</v>
      </c>
      <c r="I47" s="76">
        <f t="shared" si="16"/>
        <v>87.726787906137176</v>
      </c>
    </row>
    <row r="48" spans="1:9" ht="84.75" customHeight="1">
      <c r="A48" s="21" t="s">
        <v>38</v>
      </c>
      <c r="B48" s="78" t="s">
        <v>39</v>
      </c>
      <c r="C48" s="2">
        <f>C50</f>
        <v>3050938.8899999997</v>
      </c>
      <c r="D48" s="2">
        <f t="shared" ref="D48" si="18">D50</f>
        <v>0</v>
      </c>
      <c r="E48" s="7">
        <f>E50</f>
        <v>3125200</v>
      </c>
      <c r="F48" s="7">
        <f>F50+F49</f>
        <v>3531200.83</v>
      </c>
      <c r="G48" s="7">
        <f>G50+G49</f>
        <v>3798370.67</v>
      </c>
      <c r="H48" s="72">
        <f>H50+H49</f>
        <v>267169.84000000008</v>
      </c>
      <c r="I48" s="73">
        <f t="shared" si="16"/>
        <v>107.5659769257587</v>
      </c>
    </row>
    <row r="49" spans="1:9" ht="21" customHeight="1">
      <c r="A49" s="117" t="s">
        <v>133</v>
      </c>
      <c r="B49" s="85" t="s">
        <v>134</v>
      </c>
      <c r="C49" s="50">
        <v>0</v>
      </c>
      <c r="D49" s="51"/>
      <c r="E49" s="22">
        <v>0</v>
      </c>
      <c r="F49" s="22">
        <v>1971200.83</v>
      </c>
      <c r="G49" s="22">
        <v>1971200.83</v>
      </c>
      <c r="H49" s="26">
        <f>G49-F49</f>
        <v>0</v>
      </c>
      <c r="I49" s="73"/>
    </row>
    <row r="50" spans="1:9" ht="81" customHeight="1">
      <c r="A50" s="115" t="s">
        <v>40</v>
      </c>
      <c r="B50" s="81" t="s">
        <v>41</v>
      </c>
      <c r="C50" s="63">
        <f>2602587.11+448351.78</f>
        <v>3050938.8899999997</v>
      </c>
      <c r="D50" s="6"/>
      <c r="E50" s="4">
        <f>'[1]Табл. 1'!$E$46</f>
        <v>3125200</v>
      </c>
      <c r="F50" s="4">
        <f>780000+780000</f>
        <v>1560000</v>
      </c>
      <c r="G50" s="4">
        <v>1827169.84</v>
      </c>
      <c r="H50" s="71">
        <f>G50-F50</f>
        <v>267169.84000000008</v>
      </c>
      <c r="I50" s="73">
        <f t="shared" si="16"/>
        <v>117.12627179487181</v>
      </c>
    </row>
    <row r="51" spans="1:9" ht="28.9" customHeight="1">
      <c r="A51" s="21" t="s">
        <v>42</v>
      </c>
      <c r="B51" s="78" t="s">
        <v>43</v>
      </c>
      <c r="C51" s="2">
        <f>C52</f>
        <v>8791596.2799999993</v>
      </c>
      <c r="D51" s="2">
        <f t="shared" ref="D51:H52" si="19">D52</f>
        <v>395000</v>
      </c>
      <c r="E51" s="7">
        <f t="shared" si="19"/>
        <v>8840872.7400000002</v>
      </c>
      <c r="F51" s="7">
        <f t="shared" si="19"/>
        <v>3589394.33</v>
      </c>
      <c r="G51" s="7">
        <f t="shared" si="19"/>
        <v>2286010.81</v>
      </c>
      <c r="H51" s="72">
        <f t="shared" si="19"/>
        <v>-1303383.52</v>
      </c>
      <c r="I51" s="52"/>
    </row>
    <row r="52" spans="1:9" ht="14.45" customHeight="1">
      <c r="A52" s="21" t="s">
        <v>44</v>
      </c>
      <c r="B52" s="78" t="s">
        <v>45</v>
      </c>
      <c r="C52" s="2">
        <f>C53</f>
        <v>8791596.2799999993</v>
      </c>
      <c r="D52" s="2">
        <f t="shared" si="19"/>
        <v>395000</v>
      </c>
      <c r="E52" s="7">
        <f t="shared" si="19"/>
        <v>8840872.7400000002</v>
      </c>
      <c r="F52" s="7">
        <f t="shared" si="19"/>
        <v>3589394.33</v>
      </c>
      <c r="G52" s="7">
        <f t="shared" si="19"/>
        <v>2286010.81</v>
      </c>
      <c r="H52" s="72">
        <f t="shared" si="19"/>
        <v>-1303383.52</v>
      </c>
      <c r="I52" s="52"/>
    </row>
    <row r="53" spans="1:9" ht="28.9" customHeight="1">
      <c r="A53" s="115" t="s">
        <v>46</v>
      </c>
      <c r="B53" s="81" t="s">
        <v>47</v>
      </c>
      <c r="C53" s="63">
        <v>8791596.2799999993</v>
      </c>
      <c r="D53" s="19">
        <v>395000</v>
      </c>
      <c r="E53" s="4">
        <f>'[1]Табл. 1'!$E$49</f>
        <v>8840872.7400000002</v>
      </c>
      <c r="F53" s="4">
        <f>632122.4+2957271.93</f>
        <v>3589394.33</v>
      </c>
      <c r="G53" s="4">
        <v>2286010.81</v>
      </c>
      <c r="H53" s="71">
        <f>G53-F53</f>
        <v>-1303383.52</v>
      </c>
      <c r="I53" s="54">
        <f>G53/F53*100</f>
        <v>63.687926146581951</v>
      </c>
    </row>
    <row r="54" spans="1:9" ht="28.9" customHeight="1">
      <c r="A54" s="21" t="s">
        <v>48</v>
      </c>
      <c r="B54" s="78" t="s">
        <v>49</v>
      </c>
      <c r="C54" s="2">
        <f>C55</f>
        <v>520413.22</v>
      </c>
      <c r="D54" s="2">
        <f t="shared" ref="D54:H54" si="20">D55</f>
        <v>0</v>
      </c>
      <c r="E54" s="7">
        <f t="shared" si="20"/>
        <v>650000</v>
      </c>
      <c r="F54" s="7">
        <f t="shared" si="20"/>
        <v>166000</v>
      </c>
      <c r="G54" s="7">
        <f t="shared" si="20"/>
        <v>216438.08</v>
      </c>
      <c r="H54" s="72">
        <f t="shared" si="20"/>
        <v>50438.079999999987</v>
      </c>
      <c r="I54" s="52"/>
    </row>
    <row r="55" spans="1:9" ht="57.6" customHeight="1">
      <c r="A55" s="21" t="s">
        <v>50</v>
      </c>
      <c r="B55" s="78" t="s">
        <v>51</v>
      </c>
      <c r="C55" s="2">
        <f>C56+C57</f>
        <v>520413.22</v>
      </c>
      <c r="D55" s="2">
        <f t="shared" ref="D55:I55" si="21">D56+D57</f>
        <v>0</v>
      </c>
      <c r="E55" s="2">
        <f t="shared" ref="E55" si="22">E56+E57</f>
        <v>650000</v>
      </c>
      <c r="F55" s="2">
        <f t="shared" si="21"/>
        <v>166000</v>
      </c>
      <c r="G55" s="2">
        <f>G56+G57</f>
        <v>216438.08</v>
      </c>
      <c r="H55" s="2">
        <f t="shared" ref="H55" si="23">H56+H57</f>
        <v>50438.079999999987</v>
      </c>
      <c r="I55" s="74">
        <f t="shared" si="21"/>
        <v>130.38438554216867</v>
      </c>
    </row>
    <row r="56" spans="1:9" ht="43.35" customHeight="1">
      <c r="A56" s="115" t="s">
        <v>52</v>
      </c>
      <c r="B56" s="86" t="s">
        <v>53</v>
      </c>
      <c r="C56" s="66">
        <f>200000+450000</f>
        <v>650000</v>
      </c>
      <c r="D56" s="29"/>
      <c r="E56" s="66">
        <f>(200000+450000)</f>
        <v>650000</v>
      </c>
      <c r="F56" s="66">
        <f>12000+154000</f>
        <v>166000</v>
      </c>
      <c r="G56" s="4">
        <v>216438.08</v>
      </c>
      <c r="H56" s="71">
        <f>G56-F56</f>
        <v>50438.079999999987</v>
      </c>
      <c r="I56" s="54">
        <f>G56/F56*100</f>
        <v>130.38438554216867</v>
      </c>
    </row>
    <row r="57" spans="1:9" ht="43.35" customHeight="1">
      <c r="A57" s="116" t="s">
        <v>131</v>
      </c>
      <c r="B57" s="87" t="s">
        <v>132</v>
      </c>
      <c r="C57" s="67">
        <v>-129586.78</v>
      </c>
      <c r="D57" s="3"/>
      <c r="E57" s="67"/>
      <c r="F57" s="67"/>
      <c r="G57" s="4"/>
      <c r="H57" s="71">
        <f t="shared" ref="H57:H60" si="24">G57-F57</f>
        <v>0</v>
      </c>
      <c r="I57" s="52"/>
    </row>
    <row r="58" spans="1:9" ht="58.5" customHeight="1">
      <c r="A58" s="116" t="s">
        <v>88</v>
      </c>
      <c r="B58" s="88" t="s">
        <v>87</v>
      </c>
      <c r="C58" s="68">
        <v>65000</v>
      </c>
      <c r="D58" s="46"/>
      <c r="E58" s="68"/>
      <c r="F58" s="68"/>
      <c r="G58" s="4"/>
      <c r="H58" s="71">
        <f t="shared" si="24"/>
        <v>0</v>
      </c>
      <c r="I58" s="54"/>
    </row>
    <row r="59" spans="1:9" ht="61.5" customHeight="1">
      <c r="A59" s="116" t="s">
        <v>126</v>
      </c>
      <c r="B59" s="89" t="s">
        <v>87</v>
      </c>
      <c r="C59" s="68">
        <v>165000</v>
      </c>
      <c r="D59" s="6"/>
      <c r="E59" s="68"/>
      <c r="F59" s="68"/>
      <c r="G59" s="4">
        <v>197328.51</v>
      </c>
      <c r="H59" s="71">
        <f t="shared" si="24"/>
        <v>197328.51</v>
      </c>
      <c r="I59" s="54"/>
    </row>
    <row r="60" spans="1:9" ht="66" customHeight="1">
      <c r="A60" s="116" t="s">
        <v>135</v>
      </c>
      <c r="B60" s="87" t="s">
        <v>138</v>
      </c>
      <c r="C60" s="68"/>
      <c r="D60" s="30"/>
      <c r="E60" s="68"/>
      <c r="F60" s="68"/>
      <c r="G60" s="4">
        <v>136818.39000000001</v>
      </c>
      <c r="H60" s="71">
        <f t="shared" si="24"/>
        <v>136818.39000000001</v>
      </c>
      <c r="I60" s="54"/>
    </row>
    <row r="61" spans="1:9" ht="41.25" customHeight="1">
      <c r="A61" s="116" t="s">
        <v>136</v>
      </c>
      <c r="B61" s="87" t="s">
        <v>139</v>
      </c>
      <c r="C61" s="68"/>
      <c r="D61" s="30"/>
      <c r="E61" s="68"/>
      <c r="F61" s="68"/>
      <c r="G61" s="4"/>
      <c r="H61" s="4"/>
      <c r="I61" s="54"/>
    </row>
    <row r="62" spans="1:9" ht="30" customHeight="1">
      <c r="A62" s="116" t="s">
        <v>127</v>
      </c>
      <c r="B62" s="87" t="s">
        <v>128</v>
      </c>
      <c r="C62" s="67">
        <v>61700</v>
      </c>
      <c r="D62" s="30"/>
      <c r="E62" s="67"/>
      <c r="F62" s="67"/>
      <c r="G62" s="4"/>
      <c r="H62" s="4">
        <f t="shared" ref="H62" si="25">G62-F62</f>
        <v>0</v>
      </c>
      <c r="I62" s="54"/>
    </row>
    <row r="63" spans="1:9" ht="14.45" customHeight="1">
      <c r="A63" s="21" t="s">
        <v>54</v>
      </c>
      <c r="B63" s="90" t="s">
        <v>55</v>
      </c>
      <c r="C63" s="8">
        <f>C64</f>
        <v>131470</v>
      </c>
      <c r="D63" s="8">
        <f t="shared" ref="D63:H63" si="26">D64</f>
        <v>-18177.560000000001</v>
      </c>
      <c r="E63" s="7">
        <f t="shared" si="26"/>
        <v>140000</v>
      </c>
      <c r="F63" s="7">
        <f t="shared" si="26"/>
        <v>66000</v>
      </c>
      <c r="G63" s="7">
        <f t="shared" si="26"/>
        <v>88397.65</v>
      </c>
      <c r="H63" s="7">
        <f t="shared" si="26"/>
        <v>22397.649999999994</v>
      </c>
      <c r="I63" s="55">
        <f>G63/F63*100</f>
        <v>133.93583333333333</v>
      </c>
    </row>
    <row r="64" spans="1:9" ht="14.45" customHeight="1">
      <c r="A64" s="21" t="s">
        <v>56</v>
      </c>
      <c r="B64" s="91" t="s">
        <v>57</v>
      </c>
      <c r="C64" s="23">
        <f>C66+C65</f>
        <v>131470</v>
      </c>
      <c r="D64" s="23">
        <f t="shared" ref="D64" si="27">D66+D65</f>
        <v>-18177.560000000001</v>
      </c>
      <c r="E64" s="7">
        <f>E66+E65</f>
        <v>140000</v>
      </c>
      <c r="F64" s="7">
        <f>F66+F65</f>
        <v>66000</v>
      </c>
      <c r="G64" s="7">
        <f>G66+G65</f>
        <v>88397.65</v>
      </c>
      <c r="H64" s="7">
        <f>H66+H65</f>
        <v>22397.649999999994</v>
      </c>
      <c r="I64" s="52"/>
    </row>
    <row r="65" spans="1:10" ht="14.45" customHeight="1">
      <c r="A65" s="116" t="s">
        <v>83</v>
      </c>
      <c r="B65" s="92" t="s">
        <v>84</v>
      </c>
      <c r="C65" s="22"/>
      <c r="D65" s="26">
        <v>-18177.560000000001</v>
      </c>
      <c r="E65" s="22"/>
      <c r="F65" s="22"/>
      <c r="G65" s="22"/>
      <c r="H65" s="22">
        <f>G65-F65</f>
        <v>0</v>
      </c>
      <c r="I65" s="52"/>
    </row>
    <row r="66" spans="1:10" ht="14.25" customHeight="1">
      <c r="A66" s="115" t="s">
        <v>58</v>
      </c>
      <c r="B66" s="93" t="s">
        <v>59</v>
      </c>
      <c r="C66" s="69">
        <v>131470</v>
      </c>
      <c r="D66" s="24"/>
      <c r="E66" s="4">
        <f>'[1]Табл. 1'!$E$55</f>
        <v>140000</v>
      </c>
      <c r="F66" s="4">
        <f>30000+36000</f>
        <v>66000</v>
      </c>
      <c r="G66" s="4">
        <v>88397.65</v>
      </c>
      <c r="H66" s="4">
        <f>G66-F66</f>
        <v>22397.649999999994</v>
      </c>
      <c r="I66" s="54">
        <f>G66/F66*100</f>
        <v>133.93583333333333</v>
      </c>
    </row>
    <row r="67" spans="1:10" ht="14.45" customHeight="1">
      <c r="A67" s="21" t="s">
        <v>0</v>
      </c>
      <c r="B67" s="94" t="s">
        <v>60</v>
      </c>
      <c r="C67" s="12">
        <f>C68</f>
        <v>28579235.439999998</v>
      </c>
      <c r="D67" s="12">
        <f t="shared" ref="D67:H67" si="28">D68</f>
        <v>-3870648.3800000004</v>
      </c>
      <c r="E67" s="38">
        <f t="shared" si="28"/>
        <v>45027632.82</v>
      </c>
      <c r="F67" s="38">
        <f t="shared" si="28"/>
        <v>7059295.5700000003</v>
      </c>
      <c r="G67" s="38">
        <f t="shared" si="28"/>
        <v>6309296.1699999999</v>
      </c>
      <c r="H67" s="38">
        <f t="shared" si="28"/>
        <v>-749999.39999999991</v>
      </c>
      <c r="I67" s="122">
        <f t="shared" ref="I67" si="29">G67/F67*100</f>
        <v>89.375718971347723</v>
      </c>
    </row>
    <row r="68" spans="1:10" ht="43.35" customHeight="1">
      <c r="A68" s="21" t="s">
        <v>61</v>
      </c>
      <c r="B68" s="95" t="s">
        <v>62</v>
      </c>
      <c r="C68" s="18">
        <f>C70+C74+C75+C76+C77+C83+C72+C71+C69+C78+C79</f>
        <v>28579235.439999998</v>
      </c>
      <c r="D68" s="18">
        <f t="shared" ref="D68" si="30">D70+D74+D75+D76+D77+D83+D72+D71+D69+D78+D79</f>
        <v>-3870648.3800000004</v>
      </c>
      <c r="E68" s="18">
        <f>E70+E74+E75+E76+E77+E83+E72+E71+E69+E78+E79</f>
        <v>45027632.82</v>
      </c>
      <c r="F68" s="18">
        <f>F70+F74+F75+F76+F77+F83+F72+F71+F69+F78+F79+F73</f>
        <v>7059295.5700000003</v>
      </c>
      <c r="G68" s="18">
        <f t="shared" ref="G68:H68" si="31">G70+G74+G75+G76+G77+G83+G72+G71+G69+G78+G79+G73</f>
        <v>6309296.1699999999</v>
      </c>
      <c r="H68" s="18">
        <f t="shared" si="31"/>
        <v>-749999.39999999991</v>
      </c>
      <c r="I68" s="53"/>
    </row>
    <row r="69" spans="1:10" ht="27" customHeight="1">
      <c r="A69" s="21"/>
      <c r="B69" s="102" t="s">
        <v>140</v>
      </c>
      <c r="C69" s="103">
        <v>3166900</v>
      </c>
      <c r="D69" s="104"/>
      <c r="E69" s="103"/>
      <c r="F69" s="103"/>
      <c r="G69" s="105"/>
      <c r="H69" s="18"/>
      <c r="I69" s="52"/>
    </row>
    <row r="70" spans="1:10" ht="28.9" customHeight="1">
      <c r="A70" s="116" t="s">
        <v>69</v>
      </c>
      <c r="B70" s="96" t="s">
        <v>63</v>
      </c>
      <c r="C70" s="60">
        <v>4500000</v>
      </c>
      <c r="D70" s="17"/>
      <c r="E70" s="60">
        <f>'[1]Табл. 1'!$E$58</f>
        <v>39500000</v>
      </c>
      <c r="F70" s="60"/>
      <c r="G70" s="14"/>
      <c r="H70" s="14"/>
      <c r="I70" s="52"/>
    </row>
    <row r="71" spans="1:10" ht="39.75" customHeight="1">
      <c r="A71" s="125" t="s">
        <v>144</v>
      </c>
      <c r="B71" s="126" t="s">
        <v>145</v>
      </c>
      <c r="C71" s="60">
        <v>4782665.0999999996</v>
      </c>
      <c r="D71" s="17"/>
      <c r="E71" s="60">
        <f>'[1]Табл. 1'!$E$59</f>
        <v>218395.4</v>
      </c>
      <c r="F71" s="60"/>
      <c r="G71" s="108"/>
      <c r="H71" s="108">
        <f t="shared" ref="H71" si="32">G71-F71</f>
        <v>0</v>
      </c>
      <c r="I71" s="52"/>
    </row>
    <row r="72" spans="1:10" ht="40.5" customHeight="1">
      <c r="A72" s="116" t="s">
        <v>129</v>
      </c>
      <c r="B72" s="28" t="s">
        <v>130</v>
      </c>
      <c r="C72" s="16">
        <v>2355733.39</v>
      </c>
      <c r="D72" s="61"/>
      <c r="E72" s="16"/>
      <c r="F72" s="16">
        <v>3000000</v>
      </c>
      <c r="G72" s="14">
        <v>2250000</v>
      </c>
      <c r="H72" s="14">
        <f>G72-F72</f>
        <v>-750000</v>
      </c>
      <c r="I72" s="52">
        <f>G72/F72*100</f>
        <v>75</v>
      </c>
    </row>
    <row r="73" spans="1:10" ht="40.5" customHeight="1">
      <c r="A73" s="116" t="s">
        <v>154</v>
      </c>
      <c r="B73" s="28" t="s">
        <v>155</v>
      </c>
      <c r="C73" s="16"/>
      <c r="D73" s="61"/>
      <c r="E73" s="16"/>
      <c r="F73" s="16">
        <v>218395.4</v>
      </c>
      <c r="G73" s="14">
        <v>218395.4</v>
      </c>
      <c r="H73" s="14"/>
      <c r="I73" s="52"/>
    </row>
    <row r="74" spans="1:10" ht="28.9" customHeight="1">
      <c r="A74" s="127" t="s">
        <v>75</v>
      </c>
      <c r="B74" s="128" t="s">
        <v>76</v>
      </c>
      <c r="C74" s="129">
        <v>3670000</v>
      </c>
      <c r="D74" s="130"/>
      <c r="E74" s="129">
        <f>'[1]Табл. 1'!$E$62</f>
        <v>3629600</v>
      </c>
      <c r="F74" s="129">
        <v>1937956.85</v>
      </c>
      <c r="G74" s="131">
        <v>1937956.85</v>
      </c>
      <c r="H74" s="131">
        <f>G74-F74</f>
        <v>0</v>
      </c>
      <c r="I74" s="62">
        <f t="shared" ref="I74:I77" si="33">G74/F74*100</f>
        <v>100</v>
      </c>
      <c r="J74" s="70"/>
    </row>
    <row r="75" spans="1:10" ht="41.25" customHeight="1">
      <c r="A75" s="117" t="s">
        <v>77</v>
      </c>
      <c r="B75" s="97" t="s">
        <v>78</v>
      </c>
      <c r="C75" s="15">
        <v>1597008.09</v>
      </c>
      <c r="D75" s="34"/>
      <c r="E75" s="15">
        <f>'[1]Табл. 1'!$E$60</f>
        <v>709253</v>
      </c>
      <c r="F75" s="15">
        <v>709253</v>
      </c>
      <c r="G75" s="14">
        <v>709253</v>
      </c>
      <c r="H75" s="14">
        <f t="shared" ref="H75:H77" si="34">G75-F75</f>
        <v>0</v>
      </c>
      <c r="I75" s="62"/>
    </row>
    <row r="76" spans="1:10" ht="28.9" customHeight="1">
      <c r="A76" s="116" t="s">
        <v>79</v>
      </c>
      <c r="B76" s="81" t="s">
        <v>80</v>
      </c>
      <c r="C76" s="16">
        <v>176300</v>
      </c>
      <c r="D76" s="34"/>
      <c r="E76" s="16">
        <f>'[1]Табл. 1'!$E$61</f>
        <v>47000</v>
      </c>
      <c r="F76" s="16">
        <v>19583.3</v>
      </c>
      <c r="G76" s="14">
        <v>19583.3</v>
      </c>
      <c r="H76" s="14">
        <f t="shared" si="34"/>
        <v>0</v>
      </c>
      <c r="I76" s="62">
        <f t="shared" si="33"/>
        <v>100</v>
      </c>
      <c r="J76" s="70"/>
    </row>
    <row r="77" spans="1:10" ht="53.25" customHeight="1">
      <c r="A77" s="121" t="s">
        <v>81</v>
      </c>
      <c r="B77" s="106" t="s">
        <v>82</v>
      </c>
      <c r="C77" s="60">
        <v>8779150.1600000001</v>
      </c>
      <c r="D77" s="107"/>
      <c r="E77" s="60">
        <f>'[1]Табл. 1'!$E$63</f>
        <v>3750040</v>
      </c>
      <c r="F77" s="60">
        <v>4000763.2</v>
      </c>
      <c r="G77" s="108">
        <v>4000763.2</v>
      </c>
      <c r="H77" s="14">
        <f t="shared" si="34"/>
        <v>0</v>
      </c>
      <c r="I77" s="109">
        <f t="shared" si="33"/>
        <v>100</v>
      </c>
      <c r="J77" s="70"/>
    </row>
    <row r="78" spans="1:10" ht="52.5" customHeight="1">
      <c r="A78" s="116" t="s">
        <v>146</v>
      </c>
      <c r="B78" s="25" t="s">
        <v>147</v>
      </c>
      <c r="C78" s="16">
        <v>988199.29</v>
      </c>
      <c r="D78" s="61"/>
      <c r="E78" s="16"/>
      <c r="F78" s="16">
        <f>-0.6</f>
        <v>-0.6</v>
      </c>
      <c r="G78" s="14">
        <v>-0.6</v>
      </c>
      <c r="H78" s="14">
        <f t="shared" ref="H78" si="35">F78-G78</f>
        <v>0</v>
      </c>
      <c r="I78" s="54"/>
      <c r="J78" s="70"/>
    </row>
    <row r="79" spans="1:10" ht="14.45" customHeight="1">
      <c r="A79" s="118" t="s">
        <v>64</v>
      </c>
      <c r="B79" s="90" t="s">
        <v>65</v>
      </c>
      <c r="C79" s="8">
        <f>C80</f>
        <v>90000</v>
      </c>
      <c r="D79" s="8">
        <f t="shared" ref="D79:H80" si="36">D80</f>
        <v>-2402080.1800000002</v>
      </c>
      <c r="E79" s="110">
        <f t="shared" si="36"/>
        <v>0</v>
      </c>
      <c r="F79" s="110">
        <f t="shared" si="36"/>
        <v>0</v>
      </c>
      <c r="G79" s="110">
        <f t="shared" si="36"/>
        <v>0</v>
      </c>
      <c r="H79" s="110">
        <f t="shared" si="36"/>
        <v>0</v>
      </c>
      <c r="I79" s="111"/>
    </row>
    <row r="80" spans="1:10" ht="28.9" customHeight="1">
      <c r="A80" s="21" t="s">
        <v>70</v>
      </c>
      <c r="B80" s="78" t="s">
        <v>66</v>
      </c>
      <c r="C80" s="2">
        <f>C81</f>
        <v>90000</v>
      </c>
      <c r="D80" s="2">
        <f t="shared" si="36"/>
        <v>-2402080.1800000002</v>
      </c>
      <c r="E80" s="7">
        <f t="shared" si="36"/>
        <v>0</v>
      </c>
      <c r="F80" s="7">
        <f t="shared" si="36"/>
        <v>0</v>
      </c>
      <c r="G80" s="7">
        <f t="shared" si="36"/>
        <v>0</v>
      </c>
      <c r="H80" s="7">
        <f t="shared" si="36"/>
        <v>0</v>
      </c>
      <c r="I80" s="52"/>
    </row>
    <row r="81" spans="1:9" ht="14.25" customHeight="1">
      <c r="A81" s="116" t="s">
        <v>137</v>
      </c>
      <c r="B81" s="86" t="s">
        <v>67</v>
      </c>
      <c r="C81" s="9">
        <v>90000</v>
      </c>
      <c r="D81" s="35">
        <f>-5834000+3431919.82</f>
        <v>-2402080.1800000002</v>
      </c>
      <c r="E81" s="4"/>
      <c r="F81" s="4"/>
      <c r="G81" s="4"/>
      <c r="H81" s="4"/>
      <c r="I81" s="52"/>
    </row>
    <row r="82" spans="1:9" ht="52.5" customHeight="1">
      <c r="A82" s="119" t="s">
        <v>72</v>
      </c>
      <c r="B82" s="85" t="s">
        <v>73</v>
      </c>
      <c r="C82" s="11"/>
      <c r="D82" s="19">
        <v>70987.070000000007</v>
      </c>
      <c r="E82" s="4"/>
      <c r="F82" s="4"/>
      <c r="G82" s="4"/>
      <c r="H82" s="4"/>
      <c r="I82" s="52"/>
    </row>
    <row r="83" spans="1:9" ht="44.25" customHeight="1">
      <c r="A83" s="119" t="s">
        <v>71</v>
      </c>
      <c r="B83" s="85" t="s">
        <v>74</v>
      </c>
      <c r="C83" s="11">
        <v>-1526720.59</v>
      </c>
      <c r="D83" s="19">
        <f>(-9773852.48+8305284.28)</f>
        <v>-1468568.2000000002</v>
      </c>
      <c r="E83" s="4">
        <f>'[1]Табл. 1'!$E$67</f>
        <v>-2826655.58</v>
      </c>
      <c r="F83" s="4">
        <f>'[1]Табл. 1'!$E$67</f>
        <v>-2826655.58</v>
      </c>
      <c r="G83" s="4">
        <v>-2826654.98</v>
      </c>
      <c r="H83" s="4">
        <f>G83-F83</f>
        <v>0.60000000009313226</v>
      </c>
      <c r="I83" s="54">
        <f>G83/F83*100</f>
        <v>99.999978773501653</v>
      </c>
    </row>
    <row r="84" spans="1:9" ht="15" customHeight="1">
      <c r="A84" s="32" t="s">
        <v>68</v>
      </c>
      <c r="B84" s="98"/>
      <c r="C84" s="10">
        <f>C10+C42+C67</f>
        <v>211174206.74000001</v>
      </c>
      <c r="D84" s="36">
        <f t="shared" ref="D84" si="37">D10+D42+D67</f>
        <v>-3109091.9400000004</v>
      </c>
      <c r="E84" s="10">
        <f t="shared" ref="E84:F84" si="38">E10+E42+E67</f>
        <v>242635703.72</v>
      </c>
      <c r="F84" s="10">
        <f>F10+F42+F67</f>
        <v>103230107.53999999</v>
      </c>
      <c r="G84" s="10">
        <f>G10+G42+G67</f>
        <v>98873909.650000006</v>
      </c>
      <c r="H84" s="10">
        <f>G84-F84</f>
        <v>-4356197.8899999857</v>
      </c>
      <c r="I84" s="59">
        <f>G84/F84*100</f>
        <v>95.780109123385316</v>
      </c>
    </row>
    <row r="85" spans="1:9">
      <c r="E85" s="70">
        <f>'[1]Табл. 1'!$E$68-E84</f>
        <v>0</v>
      </c>
      <c r="F85" s="70"/>
      <c r="G85" s="70"/>
    </row>
    <row r="87" spans="1:9" ht="15.75">
      <c r="B87" s="43"/>
    </row>
    <row r="88" spans="1:9" ht="15.75">
      <c r="B88" s="43"/>
    </row>
  </sheetData>
  <mergeCells count="2">
    <mergeCell ref="A6:I6"/>
    <mergeCell ref="H4:I4"/>
  </mergeCells>
  <printOptions horizontalCentered="1"/>
  <pageMargins left="1.1811023622047245" right="0.15748031496062992" top="0.39370078740157483" bottom="0.39370078740157483" header="0.31496062992125984" footer="0.31496062992125984"/>
  <pageSetup paperSize="9" scale="55" fitToHeight="6" orientation="portrait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 1</vt:lpstr>
      <vt:lpstr>'Приложение № 1'!Заголовки_для_печати</vt:lpstr>
      <vt:lpstr>'Приложение №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new</cp:lastModifiedBy>
  <cp:lastPrinted>2021-07-21T04:01:38Z</cp:lastPrinted>
  <dcterms:created xsi:type="dcterms:W3CDTF">2006-09-16T00:00:00Z</dcterms:created>
  <dcterms:modified xsi:type="dcterms:W3CDTF">2021-07-22T01:19:04Z</dcterms:modified>
</cp:coreProperties>
</file>