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45" windowWidth="13455" windowHeight="12690" activeTab="0"/>
  </bookViews>
  <sheets>
    <sheet name="на 01.01.2022г." sheetId="1" r:id="rId1"/>
  </sheets>
  <definedNames>
    <definedName name="_xlnm.Print_Titles" localSheetId="0">'на 01.01.2022г.'!$11:$12</definedName>
    <definedName name="_xlnm.Print_Area" localSheetId="0">'на 01.01.2022г.'!$A$1:$J$739</definedName>
  </definedNames>
  <calcPr fullCalcOnLoad="1"/>
</workbook>
</file>

<file path=xl/sharedStrings.xml><?xml version="1.0" encoding="utf-8"?>
<sst xmlns="http://schemas.openxmlformats.org/spreadsheetml/2006/main" count="3330" uniqueCount="669">
  <si>
    <t>Статья расхода, код</t>
  </si>
  <si>
    <t>Наименование разделов, подразделов</t>
  </si>
  <si>
    <t>Доп. ЭК</t>
  </si>
  <si>
    <t>ОБЩЕГОСУДАРСТВЕННЫЕ ВОПРОСЫ</t>
  </si>
  <si>
    <t>0100</t>
  </si>
  <si>
    <t>Функционирование законодательных органов государственной власти (Городской Совет)</t>
  </si>
  <si>
    <t>0103</t>
  </si>
  <si>
    <t>000</t>
  </si>
  <si>
    <t>Заработная плата</t>
  </si>
  <si>
    <t>211</t>
  </si>
  <si>
    <t>212</t>
  </si>
  <si>
    <t>0102</t>
  </si>
  <si>
    <t>000 00 00</t>
  </si>
  <si>
    <t>Начисления на оплату труда</t>
  </si>
  <si>
    <t>213</t>
  </si>
  <si>
    <t>106</t>
  </si>
  <si>
    <t>Приобретение услуг</t>
  </si>
  <si>
    <t>220</t>
  </si>
  <si>
    <t>Услуги связи 110600</t>
  </si>
  <si>
    <t>221</t>
  </si>
  <si>
    <t>Транспортные услуги</t>
  </si>
  <si>
    <t>222</t>
  </si>
  <si>
    <t>Командировки и служебные разъезды (оплата транспортных расходов) 110400</t>
  </si>
  <si>
    <t>Коммунальные услуги</t>
  </si>
  <si>
    <t>223</t>
  </si>
  <si>
    <t>224</t>
  </si>
  <si>
    <t>Услуги по содержанию имущества</t>
  </si>
  <si>
    <t>225</t>
  </si>
  <si>
    <t>113</t>
  </si>
  <si>
    <t>Прочие услуги</t>
  </si>
  <si>
    <t>226</t>
  </si>
  <si>
    <t>Социальное обеспечение</t>
  </si>
  <si>
    <t>260</t>
  </si>
  <si>
    <t>Пособия по социальной помощи населению</t>
  </si>
  <si>
    <t>262</t>
  </si>
  <si>
    <t>Прочие расходы</t>
  </si>
  <si>
    <t>290</t>
  </si>
  <si>
    <t>300</t>
  </si>
  <si>
    <t>Увеличение стоимости основных средств</t>
  </si>
  <si>
    <t>310</t>
  </si>
  <si>
    <t>121</t>
  </si>
  <si>
    <t>Увеличение стоимости материальных запасов</t>
  </si>
  <si>
    <t>340</t>
  </si>
  <si>
    <t>122</t>
  </si>
  <si>
    <t>123</t>
  </si>
  <si>
    <t xml:space="preserve">Услуги связи </t>
  </si>
  <si>
    <t>Функционирование местных администраций</t>
  </si>
  <si>
    <t>0104</t>
  </si>
  <si>
    <t xml:space="preserve">Глава исполнительной власти </t>
  </si>
  <si>
    <t>Обслуживание государственного и муниципального долга</t>
  </si>
  <si>
    <t>0112</t>
  </si>
  <si>
    <t>Процентные платежи по муниципальному долгу</t>
  </si>
  <si>
    <t>152</t>
  </si>
  <si>
    <t>Обслуживание внутренних долговых обязательств</t>
  </si>
  <si>
    <t>231</t>
  </si>
  <si>
    <t>расходы на обслуживание муниципального долга</t>
  </si>
  <si>
    <t>заем АК "АЛРОСА"</t>
  </si>
  <si>
    <t>Другие общегосударственные вопросы</t>
  </si>
  <si>
    <t>Финансовая поддержка на возвратной основе</t>
  </si>
  <si>
    <t>0115</t>
  </si>
  <si>
    <t>092 00 00</t>
  </si>
  <si>
    <t>520</t>
  </si>
  <si>
    <t>242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</si>
  <si>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</si>
  <si>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</si>
  <si>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</si>
  <si>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</si>
  <si>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</si>
  <si>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</si>
  <si>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406</t>
  </si>
  <si>
    <t>0411</t>
  </si>
  <si>
    <t xml:space="preserve">340 00 00 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</si>
  <si>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</si>
  <si>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</si>
  <si>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</si>
  <si>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</si>
  <si>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</si>
  <si>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350 00 00</t>
  </si>
  <si>
    <t xml:space="preserve">Субсидии </t>
  </si>
  <si>
    <t>197</t>
  </si>
  <si>
    <t>Безвозмездные и безвозвратные перечисления организациям</t>
  </si>
  <si>
    <t>240</t>
  </si>
  <si>
    <t xml:space="preserve">Безвозмездные и безвозвратные перечисления государственным организациям </t>
  </si>
  <si>
    <t>241</t>
  </si>
  <si>
    <t>Субсидии отдельным категориям граждан на оплату ЖКУ</t>
  </si>
  <si>
    <t>117</t>
  </si>
  <si>
    <t>Мероприятия в области жилищного хозяйства по строительству, реконструкции жилых домов</t>
  </si>
  <si>
    <t>410</t>
  </si>
  <si>
    <t>0503</t>
  </si>
  <si>
    <t>ОБРАЗОВАНИЕ</t>
  </si>
  <si>
    <t>0700</t>
  </si>
  <si>
    <t>0800</t>
  </si>
  <si>
    <t>0801</t>
  </si>
  <si>
    <t>СОЦИАЛЬНАЯ ПОЛИТИКА</t>
  </si>
  <si>
    <t>1003</t>
  </si>
  <si>
    <t>МЕЖБЮДЖЕТНЫЕ ТРАНСФЕРТЫ</t>
  </si>
  <si>
    <t>1100</t>
  </si>
  <si>
    <t>1101</t>
  </si>
  <si>
    <t>251</t>
  </si>
  <si>
    <t>1104</t>
  </si>
  <si>
    <t>ВСЕГО РАСХОДОВ:</t>
  </si>
  <si>
    <t>0408</t>
  </si>
  <si>
    <t>0707</t>
  </si>
  <si>
    <t xml:space="preserve"> ФИЗИЧЕСКАЯ КУЛЬТУРА И СПОРТ</t>
  </si>
  <si>
    <t>Возмещение расходов, связанных с проездом в отпуск</t>
  </si>
  <si>
    <t>Оплата проезда к месту служебной командировки и обратно к месту постоянной работы транспортом общего пользования</t>
  </si>
  <si>
    <t>Оплата услуг отопления прочих поставщиков</t>
  </si>
  <si>
    <t>Оплата услуг предоставления электроэнергии</t>
  </si>
  <si>
    <t>Оплата услуг горячего и холодного водоснабжения, подвоз воды</t>
  </si>
  <si>
    <t>Оплата услуг канализации, водоотведения</t>
  </si>
  <si>
    <t>Оплата за проживание в жилых помещениях (найм жилого помещения) при служебных командировках</t>
  </si>
  <si>
    <t>Услуги в области информационных технологий, в т.ч.:</t>
  </si>
  <si>
    <t>Представительские расходы, прием и обслуживание делегаций</t>
  </si>
  <si>
    <t xml:space="preserve">Приобретение прочих материальных запасов </t>
  </si>
  <si>
    <t>Содержание городского сайта</t>
  </si>
  <si>
    <t>Противопожарные мероприятия (зарядка огнетушителей)</t>
  </si>
  <si>
    <t>1149</t>
  </si>
  <si>
    <t>1125</t>
  </si>
  <si>
    <t>1109</t>
  </si>
  <si>
    <t>1110</t>
  </si>
  <si>
    <t>1126</t>
  </si>
  <si>
    <t>1111</t>
  </si>
  <si>
    <t>1105</t>
  </si>
  <si>
    <t>1106</t>
  </si>
  <si>
    <t>1129</t>
  </si>
  <si>
    <t>1137</t>
  </si>
  <si>
    <t>1139</t>
  </si>
  <si>
    <t>1136</t>
  </si>
  <si>
    <t>1140</t>
  </si>
  <si>
    <t>1143</t>
  </si>
  <si>
    <t>1148</t>
  </si>
  <si>
    <t>1116</t>
  </si>
  <si>
    <t>1121</t>
  </si>
  <si>
    <t>1123</t>
  </si>
  <si>
    <t>1150</t>
  </si>
  <si>
    <t>1142</t>
  </si>
  <si>
    <t>Командировки  и служебные разъезды (суточные)</t>
  </si>
  <si>
    <t>Прочие услуги (оплата проживания)</t>
  </si>
  <si>
    <t>Приобретение основных средств</t>
  </si>
  <si>
    <t>1006</t>
  </si>
  <si>
    <t>1400</t>
  </si>
  <si>
    <t>1200</t>
  </si>
  <si>
    <t>Транспортные услуги (оплата проезда в служебные командировки)</t>
  </si>
  <si>
    <t>1204</t>
  </si>
  <si>
    <t>1403</t>
  </si>
  <si>
    <t>0113</t>
  </si>
  <si>
    <t>244</t>
  </si>
  <si>
    <t>11072</t>
  </si>
  <si>
    <t>852</t>
  </si>
  <si>
    <t>323</t>
  </si>
  <si>
    <t>540</t>
  </si>
  <si>
    <t>Приобретение сувенирной и подарочной продукции продукции</t>
  </si>
  <si>
    <t>Другие расходы по содержанию имущества, в т.ч:</t>
  </si>
  <si>
    <t>Иные работы и услуги, в т.ч.:</t>
  </si>
  <si>
    <t>Другие расходы по содержанию муниципального имущества (объекты муниципальной собственности), в т.ч:</t>
  </si>
  <si>
    <t>содержание объектов муниципальной собственности</t>
  </si>
  <si>
    <t>1000</t>
  </si>
  <si>
    <t>1124</t>
  </si>
  <si>
    <t>Текущий ремонт оборудования (оргтехники)</t>
  </si>
  <si>
    <t>Подписка периодические и справочные издания</t>
  </si>
  <si>
    <t>Содержание приборов учета</t>
  </si>
  <si>
    <t>Проведение мерзлотного надзора</t>
  </si>
  <si>
    <t>Возмещение затрат по содержанию и эксплуатации жилищного фонда</t>
  </si>
  <si>
    <t>подпрограмма "Организация переселения граждан из ветхого, аварийного жилья"</t>
  </si>
  <si>
    <t>Приобретение ГСМ</t>
  </si>
  <si>
    <t>1120</t>
  </si>
  <si>
    <t>851</t>
  </si>
  <si>
    <t>321</t>
  </si>
  <si>
    <t>Оплата прочих транспортных услуг</t>
  </si>
  <si>
    <t>9982552</t>
  </si>
  <si>
    <t xml:space="preserve">ПРОГРАММНЫЕ РАСХОДЫ  </t>
  </si>
  <si>
    <t>НЕПРОГРАММНЫЕ РАСХОДЫ</t>
  </si>
  <si>
    <t>ПРОГРАММНЫЕ РАСХОДЫ</t>
  </si>
  <si>
    <t>Организация и содержание мест захоронения</t>
  </si>
  <si>
    <t>2922216</t>
  </si>
  <si>
    <t>0409</t>
  </si>
  <si>
    <t>НАЦИОНАЛЬНАЯ ОБОРОНА</t>
  </si>
  <si>
    <t>0203</t>
  </si>
  <si>
    <t>Оплата проезда в отпуск</t>
  </si>
  <si>
    <t>Иные работы и услуги</t>
  </si>
  <si>
    <t>0304</t>
  </si>
  <si>
    <t>360</t>
  </si>
  <si>
    <t>Приобретение материальных запасов</t>
  </si>
  <si>
    <t>Транспортные расходы</t>
  </si>
  <si>
    <t>Другие транспортные услуги</t>
  </si>
  <si>
    <t>Субсидия из государственного бюджета на проведение капитального ремонта многоквартирных домов</t>
  </si>
  <si>
    <t>243</t>
  </si>
  <si>
    <t>Субсидия на приобретение и установку приборов учета</t>
  </si>
  <si>
    <t>810</t>
  </si>
  <si>
    <t>Субсидия на приобретение и установку приборов учета (установка)</t>
  </si>
  <si>
    <t>Субсидия на приобретение и установку приборов учета (приобретение)</t>
  </si>
  <si>
    <t>Приобретение специализированной техники</t>
  </si>
  <si>
    <t>Приобретение материальных запасов (битум)</t>
  </si>
  <si>
    <t>1112</t>
  </si>
  <si>
    <t>Приобретение сувенирной продукции</t>
  </si>
  <si>
    <t>Проведение ремонтных работ</t>
  </si>
  <si>
    <t>Приобретение прочих материальных запасов (строительные материалы)</t>
  </si>
  <si>
    <t>521</t>
  </si>
  <si>
    <t>2921018</t>
  </si>
  <si>
    <t>КУЛЬТУРА</t>
  </si>
  <si>
    <t>Услуги по страхованию муниципального имущества</t>
  </si>
  <si>
    <t>1135</t>
  </si>
  <si>
    <t>Прочие выплаты (взносы за участие в Совете МО)</t>
  </si>
  <si>
    <t>Прочие услуги (видеонаблюдение)</t>
  </si>
  <si>
    <t>1134</t>
  </si>
  <si>
    <t>Приобретение подарочной, сувенирной продукции</t>
  </si>
  <si>
    <t>Содержание видеонаблюдения галереи (технич. обслуживание)</t>
  </si>
  <si>
    <t>0405</t>
  </si>
  <si>
    <t>350</t>
  </si>
  <si>
    <t>РЗПР</t>
  </si>
  <si>
    <t>ЦСР</t>
  </si>
  <si>
    <t>ВР</t>
  </si>
  <si>
    <t>КОСГУ</t>
  </si>
  <si>
    <t>9900000000</t>
  </si>
  <si>
    <t>9910011600</t>
  </si>
  <si>
    <t>9910011410</t>
  </si>
  <si>
    <t>Увеличение стоимости материальных запасов (Приобретение продуктов питания)</t>
  </si>
  <si>
    <t>МЦП "Развитие кадрового потенциала в МО "Город Удачный"</t>
  </si>
  <si>
    <t>Прочие компенсации (Выезд из РКС, оплата саноторно-курортного лечения)</t>
  </si>
  <si>
    <t>200</t>
  </si>
  <si>
    <t>Закупка товаров, работ, услуг</t>
  </si>
  <si>
    <t>Услуги по содержанию имущества (ремонт оборудования, оргтехники)</t>
  </si>
  <si>
    <t>Приобретение основных средств (компьютерное оборудование)</t>
  </si>
  <si>
    <t>Приобретение материальных запасов (комплектующие к оргтехнике)</t>
  </si>
  <si>
    <t>Услуги связи (почтовые расходы)</t>
  </si>
  <si>
    <t>Закупка товаров, работ, услуг в сфере информационно-коммуникационных технологий</t>
  </si>
  <si>
    <t>Прочая закупка товров, работ, услуг для обеспечения муниципальных нужд</t>
  </si>
  <si>
    <t>Содержание в чистоте помещений, зданий, дворов, иного имущества, в т.ч.:)</t>
  </si>
  <si>
    <t>Фонд оплаты труда муниципальных служащих</t>
  </si>
  <si>
    <t>Иные выплаты персоналу муниципальных органов, за исключением фонда оплаты труда</t>
  </si>
  <si>
    <t>Оплата проезда к месту служебной командировки и обратно к месту постоянной работы транспортом общего пользования (выдача сотруднику)</t>
  </si>
  <si>
    <t>Оплата за проживание в жилых помещениях (найм жилого помещения) при служебных командировках (выдача сотруднику)</t>
  </si>
  <si>
    <t>Расходы на выплату персоналу в целях обеспечения выполненя функций муниципльными органами</t>
  </si>
  <si>
    <t>100</t>
  </si>
  <si>
    <t>Социальное обеспечение и иные выплаты населению</t>
  </si>
  <si>
    <t>Социальное пособие (выплата пенсионного обеспечения муниципальным служащим, вышедшим на пенсию)</t>
  </si>
  <si>
    <t>Расходы по оценке и страхованию муниципального имущества</t>
  </si>
  <si>
    <t>Закупка товаров, работ, услуг для муниципальных нужд</t>
  </si>
  <si>
    <t>Проведение оценки муниципального имущества</t>
  </si>
  <si>
    <t>Резервный фонд местной администрации</t>
  </si>
  <si>
    <t>9950071100</t>
  </si>
  <si>
    <t>Иные расходы по ст. 290</t>
  </si>
  <si>
    <t>Расходы по управлению муниципальным имуществом и земельными ресурсами</t>
  </si>
  <si>
    <t>9950091002</t>
  </si>
  <si>
    <t>Услуги по содержанию муниципального имущества (объекты муниципальной собственности)</t>
  </si>
  <si>
    <t>Коммунальные услуги, в т.ч.:</t>
  </si>
  <si>
    <t>Увеличение стоимости ОС</t>
  </si>
  <si>
    <t>Увеличение стоимости матриальных запасов</t>
  </si>
  <si>
    <t>Иные бюджетные ассигнования</t>
  </si>
  <si>
    <t>800</t>
  </si>
  <si>
    <t>Уплата налога на имущество организаций</t>
  </si>
  <si>
    <t xml:space="preserve">Прочие расходы </t>
  </si>
  <si>
    <t>Оплата налога на имущество</t>
  </si>
  <si>
    <t>Уплата прочих налогов, сборов и иных платежей</t>
  </si>
  <si>
    <t>Оплата транспортного налога</t>
  </si>
  <si>
    <t>9990000000</t>
  </si>
  <si>
    <t>Прочие непрограммные расходы</t>
  </si>
  <si>
    <t>9950000000</t>
  </si>
  <si>
    <t>Субвенция на осуществление федеральных полномочий по первичному воинскому учету,где отсутствуют военные комиссариаты</t>
  </si>
  <si>
    <t>9950051180</t>
  </si>
  <si>
    <t>Выполнение отдельных государственных полномочий по государственной регистрации актов гражданского состояния</t>
  </si>
  <si>
    <t>9960059300</t>
  </si>
  <si>
    <t>Субвенция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</si>
  <si>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техногенеого характера</t>
  </si>
  <si>
    <t>Расходы по содержанию имущества (Содержание видеонаблюдения "Безопасный город")</t>
  </si>
  <si>
    <t>Приобретение ГСМ для оснащения ДНД</t>
  </si>
  <si>
    <t>Приобретение основных средств (оборудования)</t>
  </si>
  <si>
    <t>Выполнение отдельных гос. полномочий по организации мероприятий по предупреждению и ликвидации болезней животных</t>
  </si>
  <si>
    <t>9950063360</t>
  </si>
  <si>
    <t>Субсидии некоммерческим организациям</t>
  </si>
  <si>
    <t>Безвозмездные перечисления муниципальному унитарному предприятию</t>
  </si>
  <si>
    <t>Текущий и капитальный ремонт автомобильных дорог</t>
  </si>
  <si>
    <t xml:space="preserve">Услуги по содержанию муниципального имущества </t>
  </si>
  <si>
    <t>Содержание муниципальных автомобильных дорог</t>
  </si>
  <si>
    <t>Содержание муниципальных дорог (зимнее и летнее)</t>
  </si>
  <si>
    <t>Увеличнение стоимости ОС</t>
  </si>
  <si>
    <t>Другие вопросы в области национальной экономики</t>
  </si>
  <si>
    <t>Предоставление грантов начинающим субъектам малого предпринимательства</t>
  </si>
  <si>
    <t>Субсидии юридическим лицам, ИП, физическим лицам</t>
  </si>
  <si>
    <t>Безвозмездные перечисления юр. и физическим лицам (получение гранто)</t>
  </si>
  <si>
    <t>Управление земельными ресурсами</t>
  </si>
  <si>
    <t>Кадастровые работы на земельные участки, находящиеся в муниципальной собственности</t>
  </si>
  <si>
    <t>Изготовление кадастровых паспортов</t>
  </si>
  <si>
    <t>Межевание земельных участков</t>
  </si>
  <si>
    <t>Услуги по межеванию земельных участков</t>
  </si>
  <si>
    <t>Капитальный ремонт общего имущества многоквартирных домов</t>
  </si>
  <si>
    <t>Имущественный взнос в НО "Фонд капитального ремонта многоквартирных домов РС (Якутия)</t>
  </si>
  <si>
    <t>Перечисление взносов на капитальный ремонт</t>
  </si>
  <si>
    <t>Проведение текущего ремонта объектов жил.фонда, находящегося в муниципальной собственности</t>
  </si>
  <si>
    <t>Субсидии на возмещение затрат или недополученных доходов организациям ЖКК</t>
  </si>
  <si>
    <t>9950091010</t>
  </si>
  <si>
    <t xml:space="preserve">Безвозмездные перечисления </t>
  </si>
  <si>
    <t>Содержание и ремонт объектов уличного освещения</t>
  </si>
  <si>
    <t>Оплата услуг электроэнергии</t>
  </si>
  <si>
    <t>Содержание территории городского кладбища</t>
  </si>
  <si>
    <t>Содержание тротуаров, скверов и площадей</t>
  </si>
  <si>
    <t>Содержание тротуаров, площадей на территории МО</t>
  </si>
  <si>
    <t>Утилизация бытовых и промышленных отходов</t>
  </si>
  <si>
    <t>Прочие мероприятия по благоустройству (прочие программные мероприятия)</t>
  </si>
  <si>
    <t>6980010009</t>
  </si>
  <si>
    <t>Текущий и капитальный ремонт городских автомобильных дорог идворовых территорий (в т.ч. средства из бюджета района)</t>
  </si>
  <si>
    <t>Проведение текущих ремонтов объектов благоустройства</t>
  </si>
  <si>
    <t>Содержание объектов благоустройства</t>
  </si>
  <si>
    <t>Прочие услуги по благоустройству территории</t>
  </si>
  <si>
    <t>6980062100</t>
  </si>
  <si>
    <t>Текущий ремонт объектов благоустройства</t>
  </si>
  <si>
    <t>Проведение текущего ремонта  объектов энергосбережения</t>
  </si>
  <si>
    <t>Прочие услуги по содержанию</t>
  </si>
  <si>
    <t>Мероприятия в области энергосбережения</t>
  </si>
  <si>
    <t>Увеличение стоимости мат. Запасов</t>
  </si>
  <si>
    <t>МЦП Социальная политика г. Удачный Мирнинского района РС (Я)   подпрограмма "Приоритетные направления по молодежной политике"</t>
  </si>
  <si>
    <t>7320011110</t>
  </si>
  <si>
    <t>Оплата поездок на участие в конкурсах и т.д.</t>
  </si>
  <si>
    <t>Оплата услуг в области организации молодежной политики</t>
  </si>
  <si>
    <t>Социальные выплаты гражданам, кроме публичных нормативных обязательств</t>
  </si>
  <si>
    <t>Выплата премий, грантов, учащимся</t>
  </si>
  <si>
    <t>Оплата поездок на фестивали, конкурсы и т.д.</t>
  </si>
  <si>
    <t>Прочие услуги, связанные с проведением культурно-массовых мероприятий</t>
  </si>
  <si>
    <t>Приобретение сувенирной продукции и цветов</t>
  </si>
  <si>
    <t>Другие расходы, связанные с проведением культурно-массовых мероприятий</t>
  </si>
  <si>
    <t>Организация и проведение культурно-масовых мероприятий</t>
  </si>
  <si>
    <t>Денежные выплаты (на организацию питания, проживания)</t>
  </si>
  <si>
    <t>Выплата денежных поощрений в связи с организацией проведения культурно-массовых мероприятий</t>
  </si>
  <si>
    <t>Приобретение сувенирной, подарочной продукции</t>
  </si>
  <si>
    <t>Приобретение канцелярских принадлежностей</t>
  </si>
  <si>
    <t>Приобретение товаров, работ, услуг</t>
  </si>
  <si>
    <t>Пособия по социальной помощи наслению</t>
  </si>
  <si>
    <t>Денежные выплаты в рамках программы</t>
  </si>
  <si>
    <t>Мероприятия подпрограммы "Обеспечение жильем молодых семей"</t>
  </si>
  <si>
    <t>Субсидии гражданам на приобретение жилья</t>
  </si>
  <si>
    <t>Субсидии на приобретение жилья молодым семьям</t>
  </si>
  <si>
    <t>Мероприятия подпрограммы "Переселение граждан из ветхого, аварийного жилья"</t>
  </si>
  <si>
    <t xml:space="preserve">Денежные выплаты населению </t>
  </si>
  <si>
    <t>Организация пассажирских перевозок внутри района автотраспортом</t>
  </si>
  <si>
    <t>Оплата услуг питания для детей из группы продленного дня</t>
  </si>
  <si>
    <t>Организация и проведение мероприятий в сфере физической культуры и массового спорта</t>
  </si>
  <si>
    <t>Организация оплаты питания, проживания и проезда спортсменов</t>
  </si>
  <si>
    <t>Оплата транспортных услуг спортсменам на соревнования</t>
  </si>
  <si>
    <t>Оплата услуг по организации спортивных мероприятий</t>
  </si>
  <si>
    <t>Выплата денежных поощрений в связи с организацией проведения спортивно-массовых мероприятий</t>
  </si>
  <si>
    <t>СРЕДСТВА МАССОВОЙ ИНФОРМАЦИИ</t>
  </si>
  <si>
    <t>Расходы в области массовой информации</t>
  </si>
  <si>
    <t>9950091001</t>
  </si>
  <si>
    <t>Оплата услуг по размещению объявлений в СМИ</t>
  </si>
  <si>
    <t>Межбюджетные трансферты</t>
  </si>
  <si>
    <t>9960000000</t>
  </si>
  <si>
    <t>Субсидии, передаваемые в гос. бюджет (орицательный трансферт)</t>
  </si>
  <si>
    <t>9960088300</t>
  </si>
  <si>
    <t>Перечислении субсидии другим бюджетам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</si>
  <si>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заключенными соглашениями</t>
  </si>
  <si>
    <t>9960088510</t>
  </si>
  <si>
    <t>Межбюджетные  трансферты</t>
  </si>
  <si>
    <t>Перечисления из бюджета поселения бюджету муниципального района на передаваемые полномочия</t>
  </si>
  <si>
    <t>Противопожарные мероприятия (по объектам муниципальной собственности) - обслуживание ОПС МФЦ</t>
  </si>
  <si>
    <t>Учет муниципального имущества</t>
  </si>
  <si>
    <t>Оформление технической документации</t>
  </si>
  <si>
    <t xml:space="preserve">Оплата прочих услуг </t>
  </si>
  <si>
    <t>Проведение текущего ремонта</t>
  </si>
  <si>
    <t>Текущий и капитальный ремонт городских автомобильных дорог идворовых территорий (за счет средств ДФ  РС (Я))</t>
  </si>
  <si>
    <t>9950091005</t>
  </si>
  <si>
    <t>Работы по органтзации отлова и содержания бездомных животных (за счет средст РС (Я)</t>
  </si>
  <si>
    <t>Работы по органтзации отлова и содержания бездомных животных (за счет средств МБ)</t>
  </si>
  <si>
    <t xml:space="preserve"> </t>
  </si>
  <si>
    <t xml:space="preserve">Приобретение сувенирной продукции </t>
  </si>
  <si>
    <t>Расходы по уплате членских взносов за Совет МО</t>
  </si>
  <si>
    <t>698006210С</t>
  </si>
  <si>
    <t>Страхование</t>
  </si>
  <si>
    <t>Прочие расходы (штрафы)</t>
  </si>
  <si>
    <t>9950091017</t>
  </si>
  <si>
    <t>9960088520</t>
  </si>
  <si>
    <t>853</t>
  </si>
  <si>
    <t>9950091012</t>
  </si>
  <si>
    <t>313</t>
  </si>
  <si>
    <t>Командировочные расходы</t>
  </si>
  <si>
    <t>Изготовление проекта</t>
  </si>
  <si>
    <t>1130</t>
  </si>
  <si>
    <t>Субсидия на выполнение мероприятий по улучшению облика жилых домов</t>
  </si>
  <si>
    <t>1117</t>
  </si>
  <si>
    <t>Безвозмездные перечисления  (Организация летнего труда школьников)</t>
  </si>
  <si>
    <t>МБТ из бюджета района на оплату проезда льготникам</t>
  </si>
  <si>
    <t>Увеличение стоимости материальных запасов (Приобретение материальных запасов)</t>
  </si>
  <si>
    <t>Проведение выборов и референдумов</t>
  </si>
  <si>
    <t>0107</t>
  </si>
  <si>
    <t>9930000000</t>
  </si>
  <si>
    <t>Проведение выборов и референдумов глав</t>
  </si>
  <si>
    <t>9930010030</t>
  </si>
  <si>
    <t>Проведение выборов и референдумов депутатов</t>
  </si>
  <si>
    <t>9930010040</t>
  </si>
  <si>
    <t>Оплата пошлин</t>
  </si>
  <si>
    <t>1144</t>
  </si>
  <si>
    <t>Оплата пеней</t>
  </si>
  <si>
    <t>Расходы по монтажу системы ("Безопасный город")</t>
  </si>
  <si>
    <t>Приобретение видеокамер (за счет средств района)</t>
  </si>
  <si>
    <t>Проведение текущего ремонта объектов жил.фонда, находящегося в муниципальной собственности (в части приобретения строительных материалов)</t>
  </si>
  <si>
    <t xml:space="preserve">Проведение текущего ремонта  объектов жил. Фонда, находящегося в муниципальной собственности (в части приобретения материальных запасов) </t>
  </si>
  <si>
    <t>Разработка Генерального плана</t>
  </si>
  <si>
    <t>Субсидия из бюджета района на реализацию мероприятий по проекту "Активный гражданин"</t>
  </si>
  <si>
    <t>812</t>
  </si>
  <si>
    <t>Оплата по соглашению (передача полномочий по библиотекам)</t>
  </si>
  <si>
    <t>500</t>
  </si>
  <si>
    <t>9950091018</t>
  </si>
  <si>
    <t>Оплата усгуг аренды</t>
  </si>
  <si>
    <t>1133</t>
  </si>
  <si>
    <t>За счет средств МБ</t>
  </si>
  <si>
    <t>2740010010</t>
  </si>
  <si>
    <t>3100000000</t>
  </si>
  <si>
    <t>3120000000</t>
  </si>
  <si>
    <t>3120010020</t>
  </si>
  <si>
    <t>3120010030</t>
  </si>
  <si>
    <t>1700000000</t>
  </si>
  <si>
    <t>1710010010</t>
  </si>
  <si>
    <t>2220010050</t>
  </si>
  <si>
    <t>1800000000</t>
  </si>
  <si>
    <t>1850010030</t>
  </si>
  <si>
    <t>1850010010</t>
  </si>
  <si>
    <t>Приобретение материальных запасов (искусственная дорожная неровность)</t>
  </si>
  <si>
    <t>2600000000</t>
  </si>
  <si>
    <t>263001005Г</t>
  </si>
  <si>
    <t>3140000000</t>
  </si>
  <si>
    <t>3140010050</t>
  </si>
  <si>
    <t>3140010030</t>
  </si>
  <si>
    <t>9950011020</t>
  </si>
  <si>
    <t>2300000000</t>
  </si>
  <si>
    <t>2320010010</t>
  </si>
  <si>
    <t>2320010030</t>
  </si>
  <si>
    <t>2320010040</t>
  </si>
  <si>
    <t>2320010060</t>
  </si>
  <si>
    <t>2320010090</t>
  </si>
  <si>
    <t>1100000000</t>
  </si>
  <si>
    <t>1120000000</t>
  </si>
  <si>
    <t>1120011020</t>
  </si>
  <si>
    <t>Софинансирование студенческих отрядов (за счет района)</t>
  </si>
  <si>
    <t>1000000000</t>
  </si>
  <si>
    <t>1020000000</t>
  </si>
  <si>
    <t>1020010002</t>
  </si>
  <si>
    <t>1500000000</t>
  </si>
  <si>
    <t>1530071020</t>
  </si>
  <si>
    <t>2000000000</t>
  </si>
  <si>
    <t>20300L0200</t>
  </si>
  <si>
    <t>1420000000</t>
  </si>
  <si>
    <t>1420010010</t>
  </si>
  <si>
    <t>Приобретение продуктов питания</t>
  </si>
  <si>
    <t>Услуги по охране</t>
  </si>
  <si>
    <t>Услуги по содержанию территории</t>
  </si>
  <si>
    <t>811</t>
  </si>
  <si>
    <t>20300S4003</t>
  </si>
  <si>
    <t>412</t>
  </si>
  <si>
    <t>НЕПРОГРАММНЫЕ</t>
  </si>
  <si>
    <t>9950091019</t>
  </si>
  <si>
    <t>Расходы, занесенные в план закупок</t>
  </si>
  <si>
    <t>Прочие усулги (Выполнение инженерно-геодезических изысканий по подготовке топографической съемки)</t>
  </si>
  <si>
    <t>245</t>
  </si>
  <si>
    <t>Приобретение основных средств (приобретение жилых помещений)</t>
  </si>
  <si>
    <t>296</t>
  </si>
  <si>
    <t>295</t>
  </si>
  <si>
    <t>291</t>
  </si>
  <si>
    <t>120</t>
  </si>
  <si>
    <t>0804</t>
  </si>
  <si>
    <t>Оплата питания, проезда на мероприятия</t>
  </si>
  <si>
    <t>Проведение текущего ремонта объектов жил.фонда, находящегося в муниципальной собственности (в части приобретения основных средств)</t>
  </si>
  <si>
    <t>292</t>
  </si>
  <si>
    <t>Софинансирование расходных обязательств местных бюджетов, связанных с капитальным ремонтом и ремонтом автомобильных дорог общего пользования местного значения сельских поселений, городских поселений и городских округов (за счет средств ГБ)</t>
  </si>
  <si>
    <t>185006213С</t>
  </si>
  <si>
    <t>225 (01ДФ)</t>
  </si>
  <si>
    <t>Текущий и капитальный ремонт городских автомобильных дорог и дворовых территорий (за счет местного бюджета) (придомовые территории)</t>
  </si>
  <si>
    <t>ремонт автомобиля</t>
  </si>
  <si>
    <t>Содержание объектов уличного освещения, находящихся в муниципальной собственности (содержание уличного освещения)</t>
  </si>
  <si>
    <t>Продукты питания</t>
  </si>
  <si>
    <t xml:space="preserve">0203 </t>
  </si>
  <si>
    <t>9950071020</t>
  </si>
  <si>
    <t>Приобретение основных средств (урны, лавочки, светильники) ФБ, РБ</t>
  </si>
  <si>
    <t>Прочие услуги (услуги по установке малых форм) МБ</t>
  </si>
  <si>
    <t xml:space="preserve">310 </t>
  </si>
  <si>
    <t>Асфальтированин придомовых территоий ФБ,РБ</t>
  </si>
  <si>
    <t>Прочие расходы (выплата денежных средств на премии ДПД)</t>
  </si>
  <si>
    <t>МП "Управление муниципальным имуществом МО "Город Удачный"</t>
  </si>
  <si>
    <t>МП "Проффилактика и борьба с социально-значимыми заболеваниями, предупреждение болезнезависимости населения на 2018-2021г.г."</t>
  </si>
  <si>
    <t>Оплата транспортных расходов</t>
  </si>
  <si>
    <t>МП "Развитие кадрового потенциала в МО "Город Удачный"</t>
  </si>
  <si>
    <t>МП "Профилактика терроризма, экстремизма и других преступных проявлений"</t>
  </si>
  <si>
    <t>МП "Обеспечение пожарной безопасности на территории МО "Город Удачный"</t>
  </si>
  <si>
    <t>МП "Развитие сети автомобильных дорог общего пользования МО "Город Удачный"</t>
  </si>
  <si>
    <t>МП "Развитие малого и среднего предпринимательства в МО"Город Удачный"</t>
  </si>
  <si>
    <t>МП "Обеспечение населения качественным жильем"</t>
  </si>
  <si>
    <t>МП " Благоустройство и озеленение МО "Город Удачный"</t>
  </si>
  <si>
    <t>МП " Энергосбережение и повышение энергетической эффективности в МО "Город Удачный"</t>
  </si>
  <si>
    <t>МП "Развитие культуры в сфере обеспечения досуга населения"</t>
  </si>
  <si>
    <t>МП Социальная поддержка населения</t>
  </si>
  <si>
    <t>МП "Развитие физкультуры и спорта"</t>
  </si>
  <si>
    <t>1320010030</t>
  </si>
  <si>
    <t>Увеличение материальных запасов</t>
  </si>
  <si>
    <t>1119</t>
  </si>
  <si>
    <t>МП "Формирование комфортной городской среды на 2019 год"</t>
  </si>
  <si>
    <t>20А0000000</t>
  </si>
  <si>
    <t>20А0010010</t>
  </si>
  <si>
    <t>Прочие расходы (несанкционированные свалки)</t>
  </si>
  <si>
    <t>МП  "Организация и осуществление мероприятий по работе с детьми и молодежью"</t>
  </si>
  <si>
    <t>346</t>
  </si>
  <si>
    <t>349</t>
  </si>
  <si>
    <t>342</t>
  </si>
  <si>
    <t>214</t>
  </si>
  <si>
    <t>267</t>
  </si>
  <si>
    <t>Командировки  и служебные разъезды ( возмещение проезда, возмещение проживания)</t>
  </si>
  <si>
    <t>353</t>
  </si>
  <si>
    <t>Увеличение стоимости неисключительных прав на результатты интелектуальной деятельности</t>
  </si>
  <si>
    <t>227</t>
  </si>
  <si>
    <t>343</t>
  </si>
  <si>
    <t>264</t>
  </si>
  <si>
    <t xml:space="preserve">                           </t>
  </si>
  <si>
    <t>129</t>
  </si>
  <si>
    <t>266</t>
  </si>
  <si>
    <t>341</t>
  </si>
  <si>
    <t>Софинансирование мероприятий по программе "Молодые семьи"</t>
  </si>
  <si>
    <t>344</t>
  </si>
  <si>
    <t>Выплата поощрения ДНД</t>
  </si>
  <si>
    <t xml:space="preserve">Услуги по перевозке пассажиров автомобильным транспортом </t>
  </si>
  <si>
    <t xml:space="preserve">Оплата транспортных услуг </t>
  </si>
  <si>
    <t>Ремонт муниципального имущества</t>
  </si>
  <si>
    <t xml:space="preserve">Прочие выплаты   </t>
  </si>
  <si>
    <t>225 (19-Г86-00002)</t>
  </si>
  <si>
    <t>Асфальтированин придомовых территоий ФБ, РБ</t>
  </si>
  <si>
    <t>Асфальтированин придомовых территоий МБ</t>
  </si>
  <si>
    <t>Прочие услуги (услуги по установке малых форм) ФБ</t>
  </si>
  <si>
    <t>Приобретение основных средств (урны, лавочки, светильники) МБ</t>
  </si>
  <si>
    <t>Реализация на территории РС (Якутия) проектов развития общественной инфраструктуры, основанных на местых инициативах (за счет средств ГБ)</t>
  </si>
  <si>
    <t>Реализация на территории РС (Якутия) проектов развития общественной инфраструктуры, основанных на местых инициативах (за счет средств МБ)</t>
  </si>
  <si>
    <t>2320062650</t>
  </si>
  <si>
    <t>23200S2650</t>
  </si>
  <si>
    <t>414</t>
  </si>
  <si>
    <t>228</t>
  </si>
  <si>
    <t>Изготовление проекта(гараж)</t>
  </si>
  <si>
    <t>1127</t>
  </si>
  <si>
    <t>263</t>
  </si>
  <si>
    <t>Субсидия по проекту "Активный гражданин"</t>
  </si>
  <si>
    <t>9950091014</t>
  </si>
  <si>
    <t>246</t>
  </si>
  <si>
    <t>Повышение квалификации</t>
  </si>
  <si>
    <t>Ремонт оборудования (оргтехники)</t>
  </si>
  <si>
    <t>Приобретение топлива</t>
  </si>
  <si>
    <t>870</t>
  </si>
  <si>
    <t>Транспортные услуги (непредвиденные расходы в связи с ЧС)</t>
  </si>
  <si>
    <t>Оплата лекарственных средств (непредвиденные расходы в связи с ЧС)</t>
  </si>
  <si>
    <t>Оплата продуктов питания (непредвиденные расходы в связи с ЧС)</t>
  </si>
  <si>
    <t>Прочие материальные запаса (в т.ч. Непредвиденные расходы в связи с ЧС)</t>
  </si>
  <si>
    <t>Приобретение основных средств (в т.ч. МБТ)</t>
  </si>
  <si>
    <t>232F255550</t>
  </si>
  <si>
    <t>Установка сервера</t>
  </si>
  <si>
    <t>Оплата нахождения в служебных командировках (суточные)</t>
  </si>
  <si>
    <t>Оплата пребывания в служебных командировках (проезд, возмещение проживания)</t>
  </si>
  <si>
    <t>293</t>
  </si>
  <si>
    <t>0907</t>
  </si>
  <si>
    <t>Оплата прочих услуг (услуги по уборке)</t>
  </si>
  <si>
    <t>Оплата услуг питания</t>
  </si>
  <si>
    <t>310 МБ Ковид</t>
  </si>
  <si>
    <t>346 МБКовид</t>
  </si>
  <si>
    <t>Оплата медосмотров</t>
  </si>
  <si>
    <t>226 МБ Ковид</t>
  </si>
  <si>
    <t>222 МБ Ковид</t>
  </si>
  <si>
    <t xml:space="preserve">225 (20-55550-00000-00000) </t>
  </si>
  <si>
    <t xml:space="preserve">310 (20-55550-00000-00000) </t>
  </si>
  <si>
    <t>Резервный фонд</t>
  </si>
  <si>
    <t>0111</t>
  </si>
  <si>
    <t>Приобретение мягкого инвентаря</t>
  </si>
  <si>
    <t>341 МБ Ковид</t>
  </si>
  <si>
    <t>345 МБ ковид</t>
  </si>
  <si>
    <t>346 Мбковид</t>
  </si>
  <si>
    <t>310 Мбковид</t>
  </si>
  <si>
    <t>351I555273</t>
  </si>
  <si>
    <t>Субсидия из ГБ РС (Я)</t>
  </si>
  <si>
    <t>Услуги по содерданию имущества</t>
  </si>
  <si>
    <t>Прочие расходы (Резервный Фонд)</t>
  </si>
  <si>
    <t>Содержание обсерваторов</t>
  </si>
  <si>
    <t>Прочие услуги (нераспределенные расходы)</t>
  </si>
  <si>
    <t xml:space="preserve">Изыскательные работы </t>
  </si>
  <si>
    <t>Софинансирование субсидии</t>
  </si>
  <si>
    <t>Активный гражданин</t>
  </si>
  <si>
    <t>Межбюджетные трансферты на содержание обсерватора</t>
  </si>
  <si>
    <t>9950065510</t>
  </si>
  <si>
    <t>226 Ковид 543</t>
  </si>
  <si>
    <t>уборка служебных помещений</t>
  </si>
  <si>
    <t>Стирка штор, флагов</t>
  </si>
  <si>
    <t>Вывоз мусора и утилизация мусора (объекты администрации)</t>
  </si>
  <si>
    <t>Оказание услуг по проведению предрейсовго осмотра автомобилей</t>
  </si>
  <si>
    <t>Техническое обслуживание средств ПС и ОПС (здание администрации)</t>
  </si>
  <si>
    <t>Содержание объектов муниципальной собственности</t>
  </si>
  <si>
    <t>Технический осмотр автомобилей (ежегодный)</t>
  </si>
  <si>
    <t>Услуги шиномонтажа</t>
  </si>
  <si>
    <t>Техническое сопровождение ПО VipNetClient</t>
  </si>
  <si>
    <t>Продление лицензии на антивирус Eset32</t>
  </si>
  <si>
    <t>Право на использование программы НаноКад</t>
  </si>
  <si>
    <t>Предоставление услуг  по предоставлению доступа и сопровождению справочно-правовой системы</t>
  </si>
  <si>
    <t>Электронно-цифровая подпись</t>
  </si>
  <si>
    <t>Право использования программы для ЭВМ "Контур-Экстерн"</t>
  </si>
  <si>
    <t xml:space="preserve">Оказание технического и консультационного обслуживания программных продуктов "1С" </t>
  </si>
  <si>
    <t>Передача неисключительных прав использования электронной системы "Госфинансы"</t>
  </si>
  <si>
    <t>Услуги по медицинскому осмотру водителей</t>
  </si>
  <si>
    <t>Услуги по договорам гражданско-правового характера</t>
  </si>
  <si>
    <t>Услуги диспанзарищации (медицинские осмотры работников)</t>
  </si>
  <si>
    <t xml:space="preserve">Прочие материальные запаса </t>
  </si>
  <si>
    <t>Вывоз мусора</t>
  </si>
  <si>
    <t>Содержание в чистоте помещений, зданий, дворов, иного имущества, содеражание объектов муниципальной собственности</t>
  </si>
  <si>
    <t>Содержание объектов муниципальной собственности (уборка помещений)</t>
  </si>
  <si>
    <t>Прочие услуги, в т.ч.:</t>
  </si>
  <si>
    <t>Погрузо-разгрузочные работы</t>
  </si>
  <si>
    <t>Пропуск в контролируемую зону</t>
  </si>
  <si>
    <t>Услуги охраны здания МФЦ</t>
  </si>
  <si>
    <t>Иные услуги</t>
  </si>
  <si>
    <t>Приобретение информационных услуг</t>
  </si>
  <si>
    <t>Приобретение информационных технологий</t>
  </si>
  <si>
    <t>Приобретение услуг связи</t>
  </si>
  <si>
    <t>9950091008</t>
  </si>
  <si>
    <t>20300L4970</t>
  </si>
  <si>
    <t>Выплата материальной помощи погорельцам (за распределения резервного фонда)</t>
  </si>
  <si>
    <t>Заработная плата (за счет МБ)</t>
  </si>
  <si>
    <t>99 5 00 91019</t>
  </si>
  <si>
    <t>247</t>
  </si>
  <si>
    <t>310 МБковид</t>
  </si>
  <si>
    <t>346 МБковид</t>
  </si>
  <si>
    <t>Организация пассажирских перевозок</t>
  </si>
  <si>
    <t>297</t>
  </si>
  <si>
    <t>Оплата выезда из РКС</t>
  </si>
  <si>
    <t>265</t>
  </si>
  <si>
    <t>Услуги по сбору и утилизации техники и материалов, пришедших в негодность</t>
  </si>
  <si>
    <t>Услуги по перевозке тел умерших граждан</t>
  </si>
  <si>
    <t>Приобретение лицензии</t>
  </si>
  <si>
    <t>Выезд из РКС (Красно)</t>
  </si>
  <si>
    <t>Выплата суточных за счет МБ</t>
  </si>
  <si>
    <t xml:space="preserve">226 (21-55550-00000-00000) </t>
  </si>
  <si>
    <t xml:space="preserve">344 (21-55550-00000-00000) </t>
  </si>
  <si>
    <t>Приобретение строительных материалов (МБ)</t>
  </si>
  <si>
    <t>Приобретение строительных материалов (ФБ, РБ)</t>
  </si>
  <si>
    <t>Транспортные услуги (оплата проезда в учебный отпуск)</t>
  </si>
  <si>
    <t>1420062650</t>
  </si>
  <si>
    <t>14200S2650</t>
  </si>
  <si>
    <t>Услуги телекоммуникационные  по обслуживанию программы "Смарт-бюджет" (Кейсистем), Электронный бюджетВипНет</t>
  </si>
  <si>
    <t>Оплата проезда в учебный отпуск</t>
  </si>
  <si>
    <t>185И164Д50</t>
  </si>
  <si>
    <t xml:space="preserve">Субсидия из бюджета РС (Я) на осуществление работ по  проектированию городских дорог (за счет средств бюджета РС (Я) </t>
  </si>
  <si>
    <t>185И1S4Д50</t>
  </si>
  <si>
    <t xml:space="preserve">Софинансирование мероприятий на осуществление работ по  проектированию городских дорог (за счет средств местного бюджета)  </t>
  </si>
  <si>
    <t>Прочие услуги (оценка технического состояния МКД п. Надежный)</t>
  </si>
  <si>
    <t>1710062770</t>
  </si>
  <si>
    <t>Субсидия на деятельность ДНД (за счет средств бюджета РС (Я)</t>
  </si>
  <si>
    <t>Софинансирование на деятельность ДНД (за счет средств МБ)</t>
  </si>
  <si>
    <t>17100S2770</t>
  </si>
  <si>
    <t>Возмещение затрат по содержанию и эксплуатации жилищного фонда, установке приборов учета общедомовых</t>
  </si>
  <si>
    <t>Приобретение основных средств (бункера, контейнера)</t>
  </si>
  <si>
    <t>Приобретение строительных материалов (метал.дверь)</t>
  </si>
  <si>
    <t>347</t>
  </si>
  <si>
    <t>Прочие услуги для целей кап.строительства</t>
  </si>
  <si>
    <t>Услуги по капитальному проектированию</t>
  </si>
  <si>
    <t>1128</t>
  </si>
  <si>
    <t xml:space="preserve">Утепление трубопровода </t>
  </si>
  <si>
    <t>Увеличение основных средств</t>
  </si>
  <si>
    <t>Выполнение архиологических изысканий</t>
  </si>
  <si>
    <t>Выполнение ПСД Благоустройство территории по отводу сточных вод</t>
  </si>
  <si>
    <t>Начисления на выплаты по оплате труда (за счет МБ)</t>
  </si>
  <si>
    <t>312</t>
  </si>
  <si>
    <t>3120010070</t>
  </si>
  <si>
    <t>Защита населения и территории от чрезвычайных ситуаций природного и техногенного характера, пожарная безопасность</t>
  </si>
  <si>
    <t>99 5 00 65520</t>
  </si>
  <si>
    <t>0310</t>
  </si>
  <si>
    <t>Уточненный план расходов на 2021 год</t>
  </si>
  <si>
    <t>Исполнение расходов</t>
  </si>
  <si>
    <t>Неисполненные назначения</t>
  </si>
  <si>
    <t>Приложение № 2</t>
  </si>
  <si>
    <t>к постановлению главы</t>
  </si>
  <si>
    <t xml:space="preserve">   Исполнение расходов бюджета МО "Город Удачный" Мирнинского района РС(Я) за 2021 год</t>
  </si>
  <si>
    <t>№ 87 от "04" февраля 2022г.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</si>
</sst>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-* #,##0.00_р_._-;\-* #,##0.00_р_._-;_-* &quot;-&quot;?_р_.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0_ ;\-#,##0.00\ "/>
    <numFmt numFmtId="193" formatCode="_-* #,##0.0_р_._-;\-* #,##0.0_р_._-;_-* &quot;-&quot;?_р_._-;_-@_-"/>
    <numFmt numFmtId="194" formatCode="#,##0.0_ ;\-#,##0.0\ "/>
    <numFmt numFmtId="195" formatCode="_-* #,##0_р_._-;\-* #,##0_р_._-;_-* &quot;-&quot;?_р_._-;_-@_-"/>
    <numFmt numFmtId="196" formatCode="#,##0.000"/>
    <numFmt numFmtId="197" formatCode="#,##0.00_р_."/>
    <numFmt numFmtId="198" formatCode="#,##0.0000"/>
    <numFmt numFmtId="199" formatCode="_-* #,##0.0&quot;р.&quot;_-;\-* #,##0.0&quot;р.&quot;_-;_-* &quot;-&quot;?&quot;р.&quot;_-;_-@_-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00_р_._-;\-* #,##0.000_р_._-;_-* &quot;-&quot;??_р_._-;_-@_-"/>
  </numFmts>
  <fonts count="111">
    <font>
      <sz val="10"/>
      <name val="Arial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2"/>
    </font>
    <font>
      <sz val="10"/>
      <color indexed="10"/>
      <name val="Arial Cyr"/>
      <family val="2"/>
    </font>
    <font>
      <i/>
      <sz val="10"/>
      <name val="Arial"/>
      <family val="2"/>
    </font>
    <font>
      <sz val="12"/>
      <name val="Arial Cyr"/>
      <family val="0"/>
    </font>
    <font>
      <b/>
      <sz val="12"/>
      <color indexed="10"/>
      <name val="Arial Cyr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b/>
      <i/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26"/>
      <name val="Arial Cyr"/>
      <family val="0"/>
    </font>
    <font>
      <sz val="10"/>
      <color indexed="30"/>
      <name val="Arial Cyr"/>
      <family val="0"/>
    </font>
    <font>
      <sz val="10"/>
      <color indexed="30"/>
      <name val="Arial"/>
      <family val="2"/>
    </font>
    <font>
      <b/>
      <sz val="10"/>
      <color indexed="8"/>
      <name val="Arial Cyr"/>
      <family val="0"/>
    </font>
    <font>
      <sz val="12"/>
      <color indexed="30"/>
      <name val="Times New Roman"/>
      <family val="1"/>
    </font>
    <font>
      <i/>
      <sz val="10"/>
      <color indexed="30"/>
      <name val="Arial Cyr"/>
      <family val="0"/>
    </font>
    <font>
      <b/>
      <sz val="10"/>
      <color indexed="30"/>
      <name val="Arial Cyr"/>
      <family val="0"/>
    </font>
    <font>
      <sz val="10"/>
      <color indexed="40"/>
      <name val="Arial Cyr"/>
      <family val="0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u val="single"/>
      <sz val="14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0"/>
    </font>
    <font>
      <b/>
      <u val="single"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u val="single"/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u val="singleAccounting"/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0"/>
      <color indexed="13"/>
      <name val="Arial Cyr"/>
      <family val="0"/>
    </font>
    <font>
      <sz val="10"/>
      <color indexed="13"/>
      <name val="Arial Cyr"/>
      <family val="0"/>
    </font>
    <font>
      <i/>
      <sz val="10"/>
      <color indexed="13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sz val="10"/>
      <color rgb="FF0070C0"/>
      <name val="Arial Cyr"/>
      <family val="0"/>
    </font>
    <font>
      <b/>
      <u val="single"/>
      <sz val="10"/>
      <color theme="1" tint="0.04998999834060669"/>
      <name val="Arial Cyr"/>
      <family val="0"/>
    </font>
    <font>
      <b/>
      <sz val="10"/>
      <color rgb="FF000000"/>
      <name val="Times New Roman"/>
      <family val="1"/>
    </font>
    <font>
      <b/>
      <u val="single"/>
      <sz val="10"/>
      <color rgb="FFFF0000"/>
      <name val="Arial Cyr"/>
      <family val="0"/>
    </font>
    <font>
      <b/>
      <sz val="12"/>
      <color rgb="FFFF0000"/>
      <name val="Arial Cyr"/>
      <family val="0"/>
    </font>
    <font>
      <b/>
      <sz val="10"/>
      <color rgb="FFFF0000"/>
      <name val="Times New Roman"/>
      <family val="1"/>
    </font>
    <font>
      <b/>
      <u val="singleAccounting"/>
      <sz val="10"/>
      <color rgb="FFFF0000"/>
      <name val="Arial Cyr"/>
      <family val="0"/>
    </font>
    <font>
      <b/>
      <sz val="10"/>
      <color rgb="FF00B050"/>
      <name val="Arial Cyr"/>
      <family val="0"/>
    </font>
    <font>
      <b/>
      <sz val="10"/>
      <color theme="1"/>
      <name val="Arial Cyr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FFFF00"/>
      <name val="Arial Cyr"/>
      <family val="0"/>
    </font>
    <font>
      <sz val="10"/>
      <color rgb="FFFFFF00"/>
      <name val="Arial Cyr"/>
      <family val="0"/>
    </font>
    <font>
      <i/>
      <sz val="10"/>
      <color rgb="FFFFFF00"/>
      <name val="Arial Cyr"/>
      <family val="0"/>
    </font>
    <font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b/>
      <sz val="11"/>
      <color rgb="FF000000"/>
      <name val="Times New Roman"/>
      <family val="1"/>
    </font>
    <font>
      <sz val="10"/>
      <color rgb="FFFF0000"/>
      <name val="Arial"/>
      <family val="2"/>
    </font>
    <font>
      <sz val="10"/>
      <color rgb="FF00B0F0"/>
      <name val="Arial Cyr"/>
      <family val="0"/>
    </font>
    <font>
      <b/>
      <sz val="10"/>
      <color theme="1" tint="0.04998999834060669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>
      <alignment vertical="top" wrapText="1"/>
      <protection/>
    </xf>
    <xf numFmtId="0" fontId="5" fillId="0" borderId="0">
      <alignment/>
      <protection/>
    </xf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1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43" fontId="3" fillId="34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vertical="center" wrapText="1"/>
    </xf>
    <xf numFmtId="1" fontId="13" fillId="0" borderId="10" xfId="0" applyNumberFormat="1" applyFont="1" applyFill="1" applyBorder="1" applyAlignment="1">
      <alignment wrapText="1"/>
    </xf>
    <xf numFmtId="4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vertical="center" wrapText="1"/>
    </xf>
    <xf numFmtId="43" fontId="0" fillId="0" borderId="10" xfId="0" applyNumberFormat="1" applyFont="1" applyBorder="1" applyAlignment="1">
      <alignment/>
    </xf>
    <xf numFmtId="43" fontId="5" fillId="0" borderId="10" xfId="0" applyNumberFormat="1" applyFont="1" applyFill="1" applyBorder="1" applyAlignment="1">
      <alignment/>
    </xf>
    <xf numFmtId="43" fontId="0" fillId="0" borderId="11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43" fontId="5" fillId="0" borderId="0" xfId="0" applyNumberFormat="1" applyFont="1" applyBorder="1" applyAlignment="1">
      <alignment/>
    </xf>
    <xf numFmtId="1" fontId="5" fillId="36" borderId="10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Alignment="1">
      <alignment/>
    </xf>
    <xf numFmtId="0" fontId="3" fillId="36" borderId="0" xfId="0" applyFont="1" applyFill="1" applyAlignment="1">
      <alignment/>
    </xf>
    <xf numFmtId="1" fontId="5" fillId="36" borderId="1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wrapText="1"/>
    </xf>
    <xf numFmtId="0" fontId="5" fillId="37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36" borderId="0" xfId="0" applyFont="1" applyFill="1" applyAlignment="1">
      <alignment/>
    </xf>
    <xf numFmtId="0" fontId="22" fillId="0" borderId="0" xfId="0" applyFont="1" applyFill="1" applyAlignment="1">
      <alignment/>
    </xf>
    <xf numFmtId="43" fontId="3" fillId="0" borderId="0" xfId="0" applyNumberFormat="1" applyFont="1" applyAlignment="1">
      <alignment/>
    </xf>
    <xf numFmtId="1" fontId="17" fillId="0" borderId="10" xfId="0" applyNumberFormat="1" applyFont="1" applyBorder="1" applyAlignment="1">
      <alignment vertical="center" wrapText="1"/>
    </xf>
    <xf numFmtId="1" fontId="1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" fontId="1" fillId="0" borderId="10" xfId="0" applyNumberFormat="1" applyFont="1" applyBorder="1" applyAlignment="1">
      <alignment wrapText="1"/>
    </xf>
    <xf numFmtId="1" fontId="23" fillId="0" borderId="10" xfId="0" applyNumberFormat="1" applyFont="1" applyBorder="1" applyAlignment="1">
      <alignment wrapText="1"/>
    </xf>
    <xf numFmtId="1" fontId="25" fillId="0" borderId="10" xfId="0" applyNumberFormat="1" applyFont="1" applyFill="1" applyBorder="1" applyAlignment="1">
      <alignment wrapText="1"/>
    </xf>
    <xf numFmtId="43" fontId="25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vertical="center" wrapText="1"/>
    </xf>
    <xf numFmtId="1" fontId="3" fillId="0" borderId="13" xfId="0" applyNumberFormat="1" applyFont="1" applyBorder="1" applyAlignment="1">
      <alignment wrapText="1"/>
    </xf>
    <xf numFmtId="1" fontId="23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1" fontId="3" fillId="38" borderId="10" xfId="0" applyNumberFormat="1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1" fontId="3" fillId="36" borderId="10" xfId="0" applyNumberFormat="1" applyFont="1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" fontId="3" fillId="38" borderId="10" xfId="0" applyNumberFormat="1" applyFont="1" applyFill="1" applyBorder="1" applyAlignment="1">
      <alignment wrapText="1"/>
    </xf>
    <xf numFmtId="1" fontId="23" fillId="0" borderId="10" xfId="0" applyNumberFormat="1" applyFont="1" applyFill="1" applyBorder="1" applyAlignment="1">
      <alignment wrapText="1"/>
    </xf>
    <xf numFmtId="1" fontId="3" fillId="39" borderId="10" xfId="0" applyNumberFormat="1" applyFont="1" applyFill="1" applyBorder="1" applyAlignment="1">
      <alignment wrapText="1"/>
    </xf>
    <xf numFmtId="1" fontId="23" fillId="36" borderId="10" xfId="0" applyNumberFormat="1" applyFont="1" applyFill="1" applyBorder="1" applyAlignment="1">
      <alignment wrapText="1"/>
    </xf>
    <xf numFmtId="1" fontId="3" fillId="36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 vertical="center" wrapText="1"/>
    </xf>
    <xf numFmtId="1" fontId="23" fillId="36" borderId="10" xfId="0" applyNumberFormat="1" applyFont="1" applyFill="1" applyBorder="1" applyAlignment="1">
      <alignment vertical="center" wrapText="1"/>
    </xf>
    <xf numFmtId="1" fontId="23" fillId="0" borderId="10" xfId="0" applyNumberFormat="1" applyFont="1" applyFill="1" applyBorder="1" applyAlignment="1">
      <alignment vertical="center" wrapText="1"/>
    </xf>
    <xf numFmtId="0" fontId="3" fillId="38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2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1" fontId="23" fillId="0" borderId="10" xfId="0" applyNumberFormat="1" applyFont="1" applyBorder="1" applyAlignment="1">
      <alignment vertical="center" wrapText="1"/>
    </xf>
    <xf numFmtId="1" fontId="23" fillId="0" borderId="10" xfId="0" applyNumberFormat="1" applyFont="1" applyBorder="1" applyAlignment="1">
      <alignment wrapText="1"/>
    </xf>
    <xf numFmtId="43" fontId="5" fillId="36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9" fillId="0" borderId="10" xfId="0" applyFont="1" applyBorder="1" applyAlignment="1">
      <alignment vertical="center" wrapText="1"/>
    </xf>
    <xf numFmtId="0" fontId="28" fillId="0" borderId="0" xfId="0" applyFont="1" applyFill="1" applyAlignment="1">
      <alignment/>
    </xf>
    <xf numFmtId="0" fontId="23" fillId="36" borderId="0" xfId="0" applyFont="1" applyFill="1" applyAlignment="1">
      <alignment/>
    </xf>
    <xf numFmtId="1" fontId="23" fillId="36" borderId="1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3" fillId="40" borderId="10" xfId="0" applyFont="1" applyFill="1" applyBorder="1" applyAlignment="1">
      <alignment vertical="top" wrapText="1"/>
    </xf>
    <xf numFmtId="0" fontId="5" fillId="41" borderId="0" xfId="0" applyFont="1" applyFill="1" applyAlignment="1">
      <alignment/>
    </xf>
    <xf numFmtId="1" fontId="3" fillId="21" borderId="10" xfId="0" applyNumberFormat="1" applyFont="1" applyFill="1" applyBorder="1" applyAlignment="1">
      <alignment wrapText="1"/>
    </xf>
    <xf numFmtId="0" fontId="5" fillId="41" borderId="10" xfId="0" applyFont="1" applyFill="1" applyBorder="1" applyAlignment="1">
      <alignment vertical="center" wrapText="1"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88" fillId="0" borderId="0" xfId="0" applyFont="1" applyAlignment="1">
      <alignment/>
    </xf>
    <xf numFmtId="0" fontId="88" fillId="36" borderId="0" xfId="0" applyFont="1" applyFill="1" applyAlignment="1">
      <alignment/>
    </xf>
    <xf numFmtId="43" fontId="88" fillId="0" borderId="0" xfId="0" applyNumberFormat="1" applyFont="1" applyFill="1" applyAlignment="1">
      <alignment/>
    </xf>
    <xf numFmtId="0" fontId="90" fillId="0" borderId="0" xfId="0" applyFont="1" applyAlignment="1">
      <alignment/>
    </xf>
    <xf numFmtId="0" fontId="88" fillId="41" borderId="0" xfId="0" applyFont="1" applyFill="1" applyAlignment="1">
      <alignment/>
    </xf>
    <xf numFmtId="0" fontId="5" fillId="40" borderId="0" xfId="0" applyFont="1" applyFill="1" applyAlignment="1">
      <alignment/>
    </xf>
    <xf numFmtId="43" fontId="32" fillId="0" borderId="10" xfId="0" applyNumberFormat="1" applyFont="1" applyFill="1" applyBorder="1" applyAlignment="1">
      <alignment/>
    </xf>
    <xf numFmtId="0" fontId="88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36" borderId="0" xfId="0" applyFont="1" applyFill="1" applyAlignment="1">
      <alignment/>
    </xf>
    <xf numFmtId="43" fontId="3" fillId="36" borderId="0" xfId="0" applyNumberFormat="1" applyFont="1" applyFill="1" applyAlignment="1">
      <alignment/>
    </xf>
    <xf numFmtId="43" fontId="5" fillId="36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88" fillId="36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1" fontId="5" fillId="41" borderId="10" xfId="0" applyNumberFormat="1" applyFont="1" applyFill="1" applyBorder="1" applyAlignment="1">
      <alignment wrapText="1"/>
    </xf>
    <xf numFmtId="43" fontId="3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91" fillId="0" borderId="10" xfId="0" applyFont="1" applyFill="1" applyBorder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1" fontId="91" fillId="0" borderId="10" xfId="0" applyNumberFormat="1" applyFont="1" applyFill="1" applyBorder="1" applyAlignment="1">
      <alignment wrapText="1"/>
    </xf>
    <xf numFmtId="0" fontId="92" fillId="0" borderId="0" xfId="0" applyFont="1" applyFill="1" applyAlignment="1">
      <alignment/>
    </xf>
    <xf numFmtId="0" fontId="93" fillId="0" borderId="14" xfId="0" applyFont="1" applyFill="1" applyBorder="1" applyAlignment="1">
      <alignment vertical="top" wrapText="1"/>
    </xf>
    <xf numFmtId="0" fontId="94" fillId="0" borderId="0" xfId="0" applyFont="1" applyAlignment="1">
      <alignment/>
    </xf>
    <xf numFmtId="0" fontId="94" fillId="36" borderId="0" xfId="0" applyFont="1" applyFill="1" applyAlignment="1">
      <alignment/>
    </xf>
    <xf numFmtId="0" fontId="94" fillId="36" borderId="0" xfId="0" applyFont="1" applyFill="1" applyAlignment="1">
      <alignment/>
    </xf>
    <xf numFmtId="49" fontId="95" fillId="0" borderId="0" xfId="0" applyNumberFormat="1" applyFont="1" applyFill="1" applyBorder="1" applyAlignment="1">
      <alignment horizontal="center"/>
    </xf>
    <xf numFmtId="0" fontId="96" fillId="0" borderId="14" xfId="0" applyFont="1" applyFill="1" applyBorder="1" applyAlignment="1">
      <alignment vertical="top" wrapText="1"/>
    </xf>
    <xf numFmtId="43" fontId="97" fillId="0" borderId="0" xfId="0" applyNumberFormat="1" applyFont="1" applyFill="1" applyBorder="1" applyAlignment="1">
      <alignment/>
    </xf>
    <xf numFmtId="43" fontId="90" fillId="0" borderId="0" xfId="0" applyNumberFormat="1" applyFont="1" applyAlignment="1">
      <alignment/>
    </xf>
    <xf numFmtId="43" fontId="3" fillId="0" borderId="0" xfId="0" applyNumberFormat="1" applyFont="1" applyFill="1" applyBorder="1" applyAlignment="1">
      <alignment/>
    </xf>
    <xf numFmtId="0" fontId="3" fillId="41" borderId="0" xfId="0" applyFont="1" applyFill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8" fillId="0" borderId="0" xfId="0" applyFont="1" applyAlignment="1">
      <alignment horizontal="center"/>
    </xf>
    <xf numFmtId="0" fontId="89" fillId="0" borderId="0" xfId="0" applyFont="1" applyAlignment="1">
      <alignment/>
    </xf>
    <xf numFmtId="1" fontId="3" fillId="40" borderId="10" xfId="0" applyNumberFormat="1" applyFont="1" applyFill="1" applyBorder="1" applyAlignment="1">
      <alignment wrapText="1"/>
    </xf>
    <xf numFmtId="4" fontId="88" fillId="0" borderId="0" xfId="0" applyNumberFormat="1" applyFont="1" applyFill="1" applyAlignment="1">
      <alignment horizontal="center"/>
    </xf>
    <xf numFmtId="0" fontId="89" fillId="36" borderId="0" xfId="0" applyFont="1" applyFill="1" applyAlignment="1">
      <alignment/>
    </xf>
    <xf numFmtId="43" fontId="88" fillId="0" borderId="0" xfId="0" applyNumberFormat="1" applyFont="1" applyAlignment="1">
      <alignment/>
    </xf>
    <xf numFmtId="49" fontId="3" fillId="40" borderId="10" xfId="0" applyNumberFormat="1" applyFont="1" applyFill="1" applyBorder="1" applyAlignment="1">
      <alignment vertical="center" wrapText="1"/>
    </xf>
    <xf numFmtId="43" fontId="98" fillId="0" borderId="0" xfId="0" applyNumberFormat="1" applyFont="1" applyAlignment="1">
      <alignment/>
    </xf>
    <xf numFmtId="0" fontId="98" fillId="0" borderId="0" xfId="0" applyFont="1" applyAlignment="1">
      <alignment/>
    </xf>
    <xf numFmtId="0" fontId="97" fillId="0" borderId="0" xfId="0" applyFont="1" applyBorder="1" applyAlignment="1">
      <alignment/>
    </xf>
    <xf numFmtId="43" fontId="89" fillId="0" borderId="0" xfId="0" applyNumberFormat="1" applyFont="1" applyAlignment="1">
      <alignment/>
    </xf>
    <xf numFmtId="0" fontId="88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wrapText="1"/>
    </xf>
    <xf numFmtId="43" fontId="5" fillId="0" borderId="0" xfId="0" applyNumberFormat="1" applyFont="1" applyAlignment="1">
      <alignment/>
    </xf>
    <xf numFmtId="43" fontId="3" fillId="36" borderId="0" xfId="0" applyNumberFormat="1" applyFont="1" applyFill="1" applyAlignment="1">
      <alignment/>
    </xf>
    <xf numFmtId="43" fontId="3" fillId="0" borderId="0" xfId="0" applyNumberFormat="1" applyFont="1" applyAlignment="1">
      <alignment/>
    </xf>
    <xf numFmtId="43" fontId="98" fillId="0" borderId="0" xfId="0" applyNumberFormat="1" applyFont="1" applyFill="1" applyAlignment="1">
      <alignment/>
    </xf>
    <xf numFmtId="0" fontId="98" fillId="0" borderId="0" xfId="0" applyFont="1" applyFill="1" applyAlignment="1">
      <alignment/>
    </xf>
    <xf numFmtId="43" fontId="0" fillId="0" borderId="0" xfId="0" applyNumberFormat="1" applyAlignment="1">
      <alignment/>
    </xf>
    <xf numFmtId="43" fontId="88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0" fontId="99" fillId="0" borderId="0" xfId="0" applyFont="1" applyFill="1" applyAlignment="1">
      <alignment/>
    </xf>
    <xf numFmtId="0" fontId="88" fillId="0" borderId="0" xfId="0" applyFont="1" applyAlignment="1">
      <alignment horizontal="left"/>
    </xf>
    <xf numFmtId="43" fontId="1" fillId="0" borderId="0" xfId="0" applyNumberFormat="1" applyFont="1" applyAlignment="1">
      <alignment/>
    </xf>
    <xf numFmtId="43" fontId="3" fillId="0" borderId="0" xfId="0" applyNumberFormat="1" applyFont="1" applyFill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1" fontId="17" fillId="0" borderId="15" xfId="0" applyNumberFormat="1" applyFont="1" applyBorder="1" applyAlignment="1">
      <alignment vertical="center" wrapText="1"/>
    </xf>
    <xf numFmtId="0" fontId="34" fillId="0" borderId="10" xfId="0" applyFont="1" applyFill="1" applyBorder="1" applyAlignment="1">
      <alignment vertical="distributed" wrapText="1"/>
    </xf>
    <xf numFmtId="0" fontId="100" fillId="0" borderId="10" xfId="0" applyFont="1" applyBorder="1" applyAlignment="1">
      <alignment vertical="distributed" wrapText="1"/>
    </xf>
    <xf numFmtId="0" fontId="100" fillId="0" borderId="16" xfId="0" applyFont="1" applyBorder="1" applyAlignment="1">
      <alignment vertical="distributed" wrapText="1"/>
    </xf>
    <xf numFmtId="0" fontId="100" fillId="0" borderId="17" xfId="0" applyFont="1" applyBorder="1" applyAlignment="1">
      <alignment vertical="distributed" wrapText="1"/>
    </xf>
    <xf numFmtId="0" fontId="100" fillId="0" borderId="18" xfId="0" applyFont="1" applyBorder="1" applyAlignment="1">
      <alignment vertical="distributed" wrapText="1"/>
    </xf>
    <xf numFmtId="0" fontId="1" fillId="0" borderId="10" xfId="0" applyFont="1" applyFill="1" applyBorder="1" applyAlignment="1">
      <alignment vertical="center" wrapText="1"/>
    </xf>
    <xf numFmtId="1" fontId="35" fillId="36" borderId="10" xfId="0" applyNumberFormat="1" applyFont="1" applyFill="1" applyBorder="1" applyAlignment="1">
      <alignment vertical="center" wrapText="1"/>
    </xf>
    <xf numFmtId="0" fontId="101" fillId="0" borderId="10" xfId="0" applyFont="1" applyFill="1" applyBorder="1" applyAlignment="1">
      <alignment vertical="top" wrapText="1"/>
    </xf>
    <xf numFmtId="43" fontId="4" fillId="0" borderId="0" xfId="0" applyNumberFormat="1" applyFont="1" applyAlignment="1">
      <alignment/>
    </xf>
    <xf numFmtId="43" fontId="88" fillId="0" borderId="0" xfId="0" applyNumberFormat="1" applyFont="1" applyAlignment="1">
      <alignment/>
    </xf>
    <xf numFmtId="0" fontId="102" fillId="41" borderId="0" xfId="0" applyFont="1" applyFill="1" applyAlignment="1">
      <alignment/>
    </xf>
    <xf numFmtId="0" fontId="102" fillId="0" borderId="0" xfId="0" applyFont="1" applyFill="1" applyAlignment="1">
      <alignment/>
    </xf>
    <xf numFmtId="0" fontId="103" fillId="36" borderId="0" xfId="0" applyFont="1" applyFill="1" applyAlignment="1">
      <alignment/>
    </xf>
    <xf numFmtId="0" fontId="104" fillId="0" borderId="0" xfId="0" applyFont="1" applyAlignment="1">
      <alignment/>
    </xf>
    <xf numFmtId="43" fontId="102" fillId="0" borderId="0" xfId="0" applyNumberFormat="1" applyFont="1" applyFill="1" applyAlignment="1">
      <alignment/>
    </xf>
    <xf numFmtId="43" fontId="1" fillId="0" borderId="0" xfId="0" applyNumberFormat="1" applyFont="1" applyAlignment="1">
      <alignment/>
    </xf>
    <xf numFmtId="1" fontId="5" fillId="41" borderId="10" xfId="0" applyNumberFormat="1" applyFont="1" applyFill="1" applyBorder="1" applyAlignment="1">
      <alignment vertical="center" wrapText="1"/>
    </xf>
    <xf numFmtId="0" fontId="3" fillId="41" borderId="0" xfId="0" applyFont="1" applyFill="1" applyAlignment="1">
      <alignment/>
    </xf>
    <xf numFmtId="0" fontId="22" fillId="41" borderId="0" xfId="0" applyFont="1" applyFill="1" applyAlignment="1">
      <alignment/>
    </xf>
    <xf numFmtId="1" fontId="3" fillId="41" borderId="10" xfId="0" applyNumberFormat="1" applyFont="1" applyFill="1" applyBorder="1" applyAlignment="1">
      <alignment vertical="center" wrapText="1"/>
    </xf>
    <xf numFmtId="43" fontId="88" fillId="36" borderId="0" xfId="0" applyNumberFormat="1" applyFont="1" applyFill="1" applyAlignment="1">
      <alignment/>
    </xf>
    <xf numFmtId="0" fontId="0" fillId="42" borderId="0" xfId="0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89" fillId="41" borderId="0" xfId="0" applyFont="1" applyFill="1" applyAlignment="1">
      <alignment/>
    </xf>
    <xf numFmtId="0" fontId="102" fillId="0" borderId="0" xfId="0" applyFont="1" applyFill="1" applyAlignment="1">
      <alignment/>
    </xf>
    <xf numFmtId="0" fontId="103" fillId="0" borderId="0" xfId="0" applyFont="1" applyFill="1" applyAlignment="1">
      <alignment/>
    </xf>
    <xf numFmtId="1" fontId="23" fillId="0" borderId="10" xfId="0" applyNumberFormat="1" applyFont="1" applyFill="1" applyBorder="1" applyAlignment="1">
      <alignment wrapText="1"/>
    </xf>
    <xf numFmtId="0" fontId="88" fillId="41" borderId="0" xfId="0" applyFont="1" applyFill="1" applyAlignment="1">
      <alignment horizontal="center"/>
    </xf>
    <xf numFmtId="0" fontId="88" fillId="41" borderId="0" xfId="0" applyFont="1" applyFill="1" applyAlignment="1">
      <alignment/>
    </xf>
    <xf numFmtId="43" fontId="3" fillId="0" borderId="10" xfId="0" applyNumberFormat="1" applyFont="1" applyFill="1" applyBorder="1" applyAlignment="1">
      <alignment wrapText="1"/>
    </xf>
    <xf numFmtId="0" fontId="93" fillId="0" borderId="14" xfId="53" applyFont="1" applyFill="1" applyBorder="1" applyAlignment="1">
      <alignment vertical="top" wrapText="1"/>
      <protection/>
    </xf>
    <xf numFmtId="0" fontId="81" fillId="0" borderId="14" xfId="53" applyFont="1" applyFill="1" applyBorder="1" applyAlignment="1">
      <alignment vertical="top" wrapText="1"/>
      <protection/>
    </xf>
    <xf numFmtId="49" fontId="0" fillId="0" borderId="0" xfId="0" applyNumberForma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12" fillId="0" borderId="0" xfId="0" applyNumberFormat="1" applyFont="1" applyBorder="1" applyAlignment="1">
      <alignment/>
    </xf>
    <xf numFmtId="14" fontId="33" fillId="43" borderId="0" xfId="0" applyNumberFormat="1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vertical="center" wrapText="1"/>
    </xf>
    <xf numFmtId="43" fontId="11" fillId="0" borderId="10" xfId="0" applyNumberFormat="1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 wrapText="1"/>
    </xf>
    <xf numFmtId="43" fontId="0" fillId="0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3" fontId="11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9" fontId="5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9" fontId="3" fillId="38" borderId="10" xfId="0" applyNumberFormat="1" applyFont="1" applyFill="1" applyBorder="1" applyAlignment="1">
      <alignment/>
    </xf>
    <xf numFmtId="43" fontId="11" fillId="15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9" fontId="32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43" fontId="0" fillId="0" borderId="11" xfId="0" applyNumberFormat="1" applyFont="1" applyFill="1" applyBorder="1" applyAlignment="1">
      <alignment/>
    </xf>
    <xf numFmtId="49" fontId="0" fillId="0" borderId="19" xfId="0" applyNumberFormat="1" applyFont="1" applyBorder="1" applyAlignment="1">
      <alignment/>
    </xf>
    <xf numFmtId="43" fontId="0" fillId="0" borderId="13" xfId="0" applyNumberFormat="1" applyFont="1" applyFill="1" applyBorder="1" applyAlignment="1">
      <alignment/>
    </xf>
    <xf numFmtId="43" fontId="0" fillId="0" borderId="15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43" fontId="11" fillId="0" borderId="10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3" fillId="0" borderId="10" xfId="0" applyNumberFormat="1" applyFont="1" applyBorder="1" applyAlignment="1">
      <alignment/>
    </xf>
    <xf numFmtId="43" fontId="5" fillId="0" borderId="10" xfId="0" applyNumberFormat="1" applyFont="1" applyFill="1" applyBorder="1" applyAlignment="1">
      <alignment/>
    </xf>
    <xf numFmtId="43" fontId="5" fillId="41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43" fontId="1" fillId="0" borderId="10" xfId="0" applyNumberFormat="1" applyFont="1" applyFill="1" applyBorder="1" applyAlignment="1">
      <alignment/>
    </xf>
    <xf numFmtId="49" fontId="23" fillId="0" borderId="10" xfId="0" applyNumberFormat="1" applyFont="1" applyBorder="1" applyAlignment="1">
      <alignment/>
    </xf>
    <xf numFmtId="49" fontId="23" fillId="0" borderId="10" xfId="0" applyNumberFormat="1" applyFont="1" applyFill="1" applyBorder="1" applyAlignment="1">
      <alignment/>
    </xf>
    <xf numFmtId="43" fontId="23" fillId="0" borderId="10" xfId="0" applyNumberFormat="1" applyFont="1" applyFill="1" applyBorder="1" applyAlignment="1">
      <alignment/>
    </xf>
    <xf numFmtId="43" fontId="23" fillId="0" borderId="10" xfId="0" applyNumberFormat="1" applyFont="1" applyBorder="1" applyAlignment="1">
      <alignment/>
    </xf>
    <xf numFmtId="43" fontId="27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3" fontId="1" fillId="0" borderId="10" xfId="0" applyNumberFormat="1" applyFont="1" applyFill="1" applyBorder="1" applyAlignment="1">
      <alignment/>
    </xf>
    <xf numFmtId="43" fontId="1" fillId="0" borderId="10" xfId="0" applyNumberFormat="1" applyFont="1" applyBorder="1" applyAlignment="1">
      <alignment/>
    </xf>
    <xf numFmtId="43" fontId="8" fillId="0" borderId="10" xfId="0" applyNumberFormat="1" applyFont="1" applyFill="1" applyBorder="1" applyAlignment="1">
      <alignment/>
    </xf>
    <xf numFmtId="43" fontId="8" fillId="0" borderId="10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43" fontId="24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49" fontId="91" fillId="0" borderId="10" xfId="0" applyNumberFormat="1" applyFont="1" applyBorder="1" applyAlignment="1">
      <alignment/>
    </xf>
    <xf numFmtId="49" fontId="91" fillId="0" borderId="10" xfId="0" applyNumberFormat="1" applyFont="1" applyFill="1" applyBorder="1" applyAlignment="1">
      <alignment/>
    </xf>
    <xf numFmtId="49" fontId="105" fillId="0" borderId="10" xfId="0" applyNumberFormat="1" applyFont="1" applyBorder="1" applyAlignment="1">
      <alignment/>
    </xf>
    <xf numFmtId="43" fontId="91" fillId="0" borderId="10" xfId="0" applyNumberFormat="1" applyFont="1" applyFill="1" applyBorder="1" applyAlignment="1">
      <alignment/>
    </xf>
    <xf numFmtId="43" fontId="91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49" fontId="23" fillId="0" borderId="10" xfId="0" applyNumberFormat="1" applyFont="1" applyBorder="1" applyAlignment="1">
      <alignment/>
    </xf>
    <xf numFmtId="49" fontId="23" fillId="0" borderId="10" xfId="0" applyNumberFormat="1" applyFont="1" applyFill="1" applyBorder="1" applyAlignment="1">
      <alignment/>
    </xf>
    <xf numFmtId="43" fontId="23" fillId="0" borderId="10" xfId="0" applyNumberFormat="1" applyFont="1" applyFill="1" applyBorder="1" applyAlignment="1">
      <alignment/>
    </xf>
    <xf numFmtId="43" fontId="23" fillId="0" borderId="10" xfId="0" applyNumberFormat="1" applyFont="1" applyBorder="1" applyAlignment="1">
      <alignment/>
    </xf>
    <xf numFmtId="43" fontId="5" fillId="41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3" fontId="3" fillId="0" borderId="10" xfId="0" applyNumberFormat="1" applyFont="1" applyBorder="1" applyAlignment="1">
      <alignment/>
    </xf>
    <xf numFmtId="49" fontId="3" fillId="40" borderId="10" xfId="0" applyNumberFormat="1" applyFont="1" applyFill="1" applyBorder="1" applyAlignment="1">
      <alignment/>
    </xf>
    <xf numFmtId="43" fontId="3" fillId="40" borderId="10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3" fillId="33" borderId="10" xfId="0" applyNumberFormat="1" applyFont="1" applyFill="1" applyBorder="1" applyAlignment="1">
      <alignment/>
    </xf>
    <xf numFmtId="43" fontId="3" fillId="36" borderId="10" xfId="0" applyNumberFormat="1" applyFont="1" applyFill="1" applyBorder="1" applyAlignment="1">
      <alignment/>
    </xf>
    <xf numFmtId="49" fontId="5" fillId="36" borderId="10" xfId="0" applyNumberFormat="1" applyFont="1" applyFill="1" applyBorder="1" applyAlignment="1">
      <alignment/>
    </xf>
    <xf numFmtId="49" fontId="3" fillId="15" borderId="10" xfId="0" applyNumberFormat="1" applyFont="1" applyFill="1" applyBorder="1" applyAlignment="1">
      <alignment/>
    </xf>
    <xf numFmtId="43" fontId="3" fillId="15" borderId="10" xfId="0" applyNumberFormat="1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49" fontId="91" fillId="36" borderId="10" xfId="0" applyNumberFormat="1" applyFont="1" applyFill="1" applyBorder="1" applyAlignment="1">
      <alignment/>
    </xf>
    <xf numFmtId="43" fontId="106" fillId="36" borderId="10" xfId="0" applyNumberFormat="1" applyFont="1" applyFill="1" applyBorder="1" applyAlignment="1">
      <alignment/>
    </xf>
    <xf numFmtId="43" fontId="3" fillId="36" borderId="10" xfId="0" applyNumberFormat="1" applyFont="1" applyFill="1" applyBorder="1" applyAlignment="1">
      <alignment/>
    </xf>
    <xf numFmtId="49" fontId="106" fillId="36" borderId="10" xfId="0" applyNumberFormat="1" applyFont="1" applyFill="1" applyBorder="1" applyAlignment="1">
      <alignment/>
    </xf>
    <xf numFmtId="49" fontId="106" fillId="0" borderId="10" xfId="0" applyNumberFormat="1" applyFont="1" applyBorder="1" applyAlignment="1">
      <alignment/>
    </xf>
    <xf numFmtId="49" fontId="5" fillId="41" borderId="10" xfId="0" applyNumberFormat="1" applyFont="1" applyFill="1" applyBorder="1" applyAlignment="1">
      <alignment/>
    </xf>
    <xf numFmtId="43" fontId="3" fillId="41" borderId="10" xfId="0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29" fillId="0" borderId="10" xfId="0" applyNumberFormat="1" applyFont="1" applyBorder="1" applyAlignment="1">
      <alignment/>
    </xf>
    <xf numFmtId="0" fontId="81" fillId="0" borderId="10" xfId="0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 vertical="center" wrapText="1"/>
    </xf>
    <xf numFmtId="43" fontId="5" fillId="0" borderId="10" xfId="0" applyNumberFormat="1" applyFont="1" applyFill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43" fontId="3" fillId="34" borderId="10" xfId="0" applyNumberFormat="1" applyFont="1" applyFill="1" applyBorder="1" applyAlignment="1">
      <alignment/>
    </xf>
    <xf numFmtId="49" fontId="15" fillId="0" borderId="10" xfId="0" applyNumberFormat="1" applyFont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/>
    </xf>
    <xf numFmtId="43" fontId="3" fillId="36" borderId="11" xfId="0" applyNumberFormat="1" applyFont="1" applyFill="1" applyBorder="1" applyAlignment="1">
      <alignment/>
    </xf>
    <xf numFmtId="49" fontId="5" fillId="36" borderId="19" xfId="0" applyNumberFormat="1" applyFont="1" applyFill="1" applyBorder="1" applyAlignment="1">
      <alignment/>
    </xf>
    <xf numFmtId="43" fontId="3" fillId="36" borderId="13" xfId="0" applyNumberFormat="1" applyFont="1" applyFill="1" applyBorder="1" applyAlignment="1">
      <alignment/>
    </xf>
    <xf numFmtId="43" fontId="3" fillId="36" borderId="15" xfId="0" applyNumberFormat="1" applyFont="1" applyFill="1" applyBorder="1" applyAlignment="1">
      <alignment/>
    </xf>
    <xf numFmtId="0" fontId="36" fillId="0" borderId="14" xfId="53" applyFont="1" applyFill="1" applyBorder="1" applyAlignment="1">
      <alignment vertical="top" wrapText="1"/>
      <protection/>
    </xf>
    <xf numFmtId="0" fontId="107" fillId="0" borderId="14" xfId="53" applyFont="1" applyFill="1" applyBorder="1" applyAlignment="1">
      <alignment vertical="top" wrapText="1"/>
      <protection/>
    </xf>
    <xf numFmtId="4" fontId="107" fillId="0" borderId="14" xfId="53" applyNumberFormat="1" applyFont="1" applyFill="1" applyBorder="1" applyAlignment="1">
      <alignment vertical="top" wrapText="1"/>
      <protection/>
    </xf>
    <xf numFmtId="0" fontId="34" fillId="0" borderId="14" xfId="53" applyFont="1" applyFill="1" applyBorder="1" applyAlignment="1">
      <alignment vertical="top" wrapText="1"/>
      <protection/>
    </xf>
    <xf numFmtId="0" fontId="101" fillId="0" borderId="14" xfId="53" applyFont="1" applyFill="1" applyBorder="1" applyAlignment="1">
      <alignment vertical="top" wrapText="1"/>
      <protection/>
    </xf>
    <xf numFmtId="4" fontId="101" fillId="0" borderId="14" xfId="53" applyNumberFormat="1" applyFont="1" applyFill="1" applyBorder="1" applyAlignment="1">
      <alignment vertical="top" wrapText="1"/>
      <protection/>
    </xf>
    <xf numFmtId="43" fontId="35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49" fontId="31" fillId="0" borderId="10" xfId="54" applyNumberFormat="1" applyFont="1" applyBorder="1" applyAlignment="1">
      <alignment/>
      <protection/>
    </xf>
    <xf numFmtId="49" fontId="5" fillId="36" borderId="10" xfId="0" applyNumberFormat="1" applyFont="1" applyFill="1" applyBorder="1" applyAlignment="1">
      <alignment wrapText="1"/>
    </xf>
    <xf numFmtId="49" fontId="5" fillId="38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93" fillId="0" borderId="14" xfId="0" applyFont="1" applyFill="1" applyBorder="1" applyAlignment="1">
      <alignment vertical="center" wrapText="1"/>
    </xf>
    <xf numFmtId="49" fontId="3" fillId="41" borderId="10" xfId="0" applyNumberFormat="1" applyFont="1" applyFill="1" applyBorder="1" applyAlignment="1">
      <alignment/>
    </xf>
    <xf numFmtId="43" fontId="3" fillId="41" borderId="10" xfId="0" applyNumberFormat="1" applyFont="1" applyFill="1" applyBorder="1" applyAlignment="1">
      <alignment/>
    </xf>
    <xf numFmtId="0" fontId="81" fillId="0" borderId="14" xfId="0" applyFont="1" applyFill="1" applyBorder="1" applyAlignment="1">
      <alignment vertical="center" wrapText="1"/>
    </xf>
    <xf numFmtId="43" fontId="35" fillId="41" borderId="10" xfId="0" applyNumberFormat="1" applyFont="1" applyFill="1" applyBorder="1" applyAlignment="1">
      <alignment/>
    </xf>
    <xf numFmtId="49" fontId="89" fillId="36" borderId="10" xfId="0" applyNumberFormat="1" applyFont="1" applyFill="1" applyBorder="1" applyAlignment="1">
      <alignment/>
    </xf>
    <xf numFmtId="0" fontId="108" fillId="0" borderId="14" xfId="0" applyFont="1" applyFill="1" applyBorder="1" applyAlignment="1">
      <alignment vertical="top" wrapText="1"/>
    </xf>
    <xf numFmtId="43" fontId="89" fillId="36" borderId="10" xfId="0" applyNumberFormat="1" applyFont="1" applyFill="1" applyBorder="1" applyAlignment="1">
      <alignment/>
    </xf>
    <xf numFmtId="49" fontId="1" fillId="38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3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49" fontId="3" fillId="21" borderId="10" xfId="0" applyNumberFormat="1" applyFont="1" applyFill="1" applyBorder="1" applyAlignment="1">
      <alignment/>
    </xf>
    <xf numFmtId="49" fontId="5" fillId="21" borderId="10" xfId="0" applyNumberFormat="1" applyFont="1" applyFill="1" applyBorder="1" applyAlignment="1">
      <alignment/>
    </xf>
    <xf numFmtId="43" fontId="3" fillId="21" borderId="10" xfId="0" applyNumberFormat="1" applyFont="1" applyFill="1" applyBorder="1" applyAlignment="1">
      <alignment/>
    </xf>
    <xf numFmtId="49" fontId="23" fillId="36" borderId="10" xfId="0" applyNumberFormat="1" applyFont="1" applyFill="1" applyBorder="1" applyAlignment="1">
      <alignment/>
    </xf>
    <xf numFmtId="43" fontId="5" fillId="36" borderId="13" xfId="0" applyNumberFormat="1" applyFont="1" applyFill="1" applyBorder="1" applyAlignment="1">
      <alignment/>
    </xf>
    <xf numFmtId="43" fontId="23" fillId="36" borderId="10" xfId="0" applyNumberFormat="1" applyFont="1" applyFill="1" applyBorder="1" applyAlignment="1">
      <alignment/>
    </xf>
    <xf numFmtId="49" fontId="3" fillId="38" borderId="10" xfId="0" applyNumberFormat="1" applyFont="1" applyFill="1" applyBorder="1" applyAlignment="1">
      <alignment/>
    </xf>
    <xf numFmtId="49" fontId="23" fillId="36" borderId="10" xfId="0" applyNumberFormat="1" applyFont="1" applyFill="1" applyBorder="1" applyAlignment="1">
      <alignment/>
    </xf>
    <xf numFmtId="49" fontId="5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43" fontId="91" fillId="36" borderId="10" xfId="0" applyNumberFormat="1" applyFont="1" applyFill="1" applyBorder="1" applyAlignment="1">
      <alignment/>
    </xf>
    <xf numFmtId="43" fontId="109" fillId="0" borderId="10" xfId="0" applyNumberFormat="1" applyFont="1" applyFill="1" applyBorder="1" applyAlignment="1">
      <alignment/>
    </xf>
    <xf numFmtId="43" fontId="5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3" fillId="41" borderId="10" xfId="0" applyFont="1" applyFill="1" applyBorder="1" applyAlignment="1">
      <alignment vertical="center" wrapText="1"/>
    </xf>
    <xf numFmtId="1" fontId="3" fillId="41" borderId="10" xfId="0" applyNumberFormat="1" applyFont="1" applyFill="1" applyBorder="1" applyAlignment="1">
      <alignment wrapText="1"/>
    </xf>
    <xf numFmtId="0" fontId="3" fillId="41" borderId="10" xfId="0" applyFont="1" applyFill="1" applyBorder="1" applyAlignment="1">
      <alignment/>
    </xf>
    <xf numFmtId="43" fontId="110" fillId="0" borderId="0" xfId="0" applyNumberFormat="1" applyFont="1" applyFill="1" applyAlignment="1">
      <alignment/>
    </xf>
    <xf numFmtId="0" fontId="93" fillId="0" borderId="14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49" fontId="31" fillId="36" borderId="10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93" fillId="15" borderId="14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12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3:BB2595"/>
  <sheetViews>
    <sheetView tabSelected="1" view="pageBreakPreview" zoomScaleSheetLayoutView="100" workbookViewId="0" topLeftCell="A1">
      <pane xSplit="1" topLeftCell="B1" activePane="topRight" state="frozen"/>
      <selection pane="topLeft" activeCell="A4" sqref="A4"/>
      <selection pane="topRight" activeCell="H7" sqref="H7"/>
    </sheetView>
  </sheetViews>
  <sheetFormatPr defaultColWidth="9.140625" defaultRowHeight="12.75" outlineLevelCol="1"/>
  <cols>
    <col min="1" max="1" width="44.140625" style="1" customWidth="1"/>
    <col min="2" max="2" width="9.140625" style="2" customWidth="1"/>
    <col min="3" max="3" width="13.28125" style="2" customWidth="1"/>
    <col min="4" max="4" width="9.00390625" style="2" customWidth="1"/>
    <col min="5" max="5" width="8.57421875" style="2" customWidth="1"/>
    <col min="6" max="6" width="9.421875" style="2" customWidth="1"/>
    <col min="7" max="7" width="19.28125" style="63" customWidth="1" outlineLevel="1"/>
    <col min="8" max="8" width="17.421875" style="63" customWidth="1" outlineLevel="1"/>
    <col min="9" max="9" width="21.8515625" style="63" hidden="1" customWidth="1" outlineLevel="1"/>
    <col min="10" max="10" width="15.57421875" style="73" customWidth="1" collapsed="1"/>
    <col min="11" max="11" width="23.140625" style="0" customWidth="1"/>
    <col min="12" max="12" width="16.7109375" style="0" bestFit="1" customWidth="1"/>
    <col min="14" max="14" width="12.140625" style="0" customWidth="1"/>
  </cols>
  <sheetData>
    <row r="1" ht="12.75" customHeight="1" hidden="1"/>
    <row r="2" ht="12.75" hidden="1"/>
    <row r="3" spans="7:9" ht="12.75" hidden="1">
      <c r="G3" s="65"/>
      <c r="H3" s="65"/>
      <c r="I3" s="65"/>
    </row>
    <row r="4" spans="2:10" ht="12.75">
      <c r="B4" s="236"/>
      <c r="C4" s="236"/>
      <c r="D4" s="236"/>
      <c r="E4" s="236"/>
      <c r="F4" s="236"/>
      <c r="G4" s="237"/>
      <c r="H4" s="237" t="s">
        <v>665</v>
      </c>
      <c r="I4" s="237"/>
      <c r="J4" s="238"/>
    </row>
    <row r="5" spans="2:10" ht="12.75">
      <c r="B5" s="236"/>
      <c r="C5" s="236"/>
      <c r="D5" s="236"/>
      <c r="E5" s="236"/>
      <c r="F5" s="236"/>
      <c r="G5" s="237"/>
      <c r="H5" s="237" t="s">
        <v>666</v>
      </c>
      <c r="I5" s="237"/>
      <c r="J5" s="238"/>
    </row>
    <row r="6" spans="2:10" ht="12.75">
      <c r="B6" s="236"/>
      <c r="C6" s="236"/>
      <c r="D6" s="236"/>
      <c r="E6" s="236"/>
      <c r="F6" s="236"/>
      <c r="G6" s="237"/>
      <c r="H6" s="237"/>
      <c r="I6" s="237"/>
      <c r="J6" s="238"/>
    </row>
    <row r="7" spans="2:10" ht="18">
      <c r="B7" s="236"/>
      <c r="C7" s="236"/>
      <c r="D7" s="236"/>
      <c r="E7" s="236"/>
      <c r="F7" s="236"/>
      <c r="G7" s="239"/>
      <c r="H7" s="237" t="s">
        <v>668</v>
      </c>
      <c r="I7" s="240"/>
      <c r="J7" s="238"/>
    </row>
    <row r="8" spans="1:10" ht="18">
      <c r="A8" s="43" t="s">
        <v>667</v>
      </c>
      <c r="B8" s="43"/>
      <c r="C8" s="43"/>
      <c r="D8" s="43"/>
      <c r="E8" s="43"/>
      <c r="F8" s="43"/>
      <c r="G8" s="237"/>
      <c r="H8" s="237"/>
      <c r="I8" s="237"/>
      <c r="J8" s="238"/>
    </row>
    <row r="9" spans="1:10" ht="18">
      <c r="A9" s="48"/>
      <c r="B9" s="48"/>
      <c r="C9" s="48"/>
      <c r="D9" s="48"/>
      <c r="E9" s="49"/>
      <c r="F9" s="48"/>
      <c r="G9" s="237"/>
      <c r="H9" s="237"/>
      <c r="I9" s="237"/>
      <c r="J9" s="238"/>
    </row>
    <row r="10" spans="1:10" ht="15.75">
      <c r="A10" s="41"/>
      <c r="B10" s="41"/>
      <c r="C10" s="41"/>
      <c r="D10" s="41"/>
      <c r="E10" s="6"/>
      <c r="F10" s="7"/>
      <c r="G10" s="237"/>
      <c r="H10" s="237"/>
      <c r="I10" s="237"/>
      <c r="J10" s="238"/>
    </row>
    <row r="11" spans="1:10" ht="12.75">
      <c r="A11" s="402" t="s">
        <v>0</v>
      </c>
      <c r="B11" s="403"/>
      <c r="C11" s="403"/>
      <c r="D11" s="403"/>
      <c r="E11" s="403"/>
      <c r="F11" s="404"/>
      <c r="G11" s="241"/>
      <c r="H11" s="241"/>
      <c r="I11" s="241"/>
      <c r="J11" s="242"/>
    </row>
    <row r="12" spans="1:10" ht="38.25">
      <c r="A12" s="25" t="s">
        <v>1</v>
      </c>
      <c r="B12" s="243" t="s">
        <v>209</v>
      </c>
      <c r="C12" s="243" t="s">
        <v>210</v>
      </c>
      <c r="D12" s="243" t="s">
        <v>211</v>
      </c>
      <c r="E12" s="243" t="s">
        <v>212</v>
      </c>
      <c r="F12" s="243" t="s">
        <v>2</v>
      </c>
      <c r="G12" s="244" t="s">
        <v>662</v>
      </c>
      <c r="H12" s="245" t="s">
        <v>663</v>
      </c>
      <c r="I12" s="245" t="s">
        <v>449</v>
      </c>
      <c r="J12" s="246" t="s">
        <v>664</v>
      </c>
    </row>
    <row r="13" spans="1:10" ht="12.75">
      <c r="A13" s="34" t="s">
        <v>3</v>
      </c>
      <c r="B13" s="247" t="s">
        <v>4</v>
      </c>
      <c r="C13" s="248"/>
      <c r="D13" s="247"/>
      <c r="E13" s="247"/>
      <c r="F13" s="247"/>
      <c r="G13" s="249">
        <f>G14+G34+G140+G19+G130+G138</f>
        <v>146541768.74</v>
      </c>
      <c r="H13" s="249">
        <f>H14+H34+H140+H19+H130+H138</f>
        <v>139709417.07</v>
      </c>
      <c r="I13" s="249">
        <f>I14+I34+I140+I19+I130+I138</f>
        <v>140605963.06999996</v>
      </c>
      <c r="J13" s="249">
        <f>J14+J34+J140+J19+J130+J138</f>
        <v>6832351.67</v>
      </c>
    </row>
    <row r="14" spans="1:11" ht="12.75">
      <c r="A14" s="44" t="s">
        <v>48</v>
      </c>
      <c r="B14" s="247" t="s">
        <v>11</v>
      </c>
      <c r="C14" s="248"/>
      <c r="D14" s="250"/>
      <c r="E14" s="250"/>
      <c r="F14" s="248"/>
      <c r="G14" s="249">
        <f>G16+G17+G18</f>
        <v>5581999.19</v>
      </c>
      <c r="H14" s="249">
        <f>H16+H17+H18</f>
        <v>5581999.19</v>
      </c>
      <c r="I14" s="249">
        <f>I16+I17+I18</f>
        <v>5581999.19</v>
      </c>
      <c r="J14" s="249">
        <f>J16+J17+J18</f>
        <v>0</v>
      </c>
      <c r="K14" s="194"/>
    </row>
    <row r="15" spans="1:10" s="61" customFormat="1" ht="12.75">
      <c r="A15" s="58" t="s">
        <v>171</v>
      </c>
      <c r="B15" s="251"/>
      <c r="C15" s="252"/>
      <c r="D15" s="253"/>
      <c r="E15" s="253"/>
      <c r="F15" s="252"/>
      <c r="G15" s="254"/>
      <c r="H15" s="254"/>
      <c r="I15" s="254"/>
      <c r="J15" s="255"/>
    </row>
    <row r="16" spans="1:10" ht="12.75">
      <c r="A16" s="33" t="s">
        <v>8</v>
      </c>
      <c r="B16" s="256" t="s">
        <v>11</v>
      </c>
      <c r="C16" s="256" t="s">
        <v>214</v>
      </c>
      <c r="D16" s="256" t="s">
        <v>40</v>
      </c>
      <c r="E16" s="256" t="s">
        <v>9</v>
      </c>
      <c r="F16" s="256"/>
      <c r="G16" s="254">
        <v>4664514.48</v>
      </c>
      <c r="H16" s="241">
        <v>4664514.48</v>
      </c>
      <c r="I16" s="241">
        <f>H16</f>
        <v>4664514.48</v>
      </c>
      <c r="J16" s="257">
        <f>G16-H16</f>
        <v>0</v>
      </c>
    </row>
    <row r="17" spans="1:10" ht="12.75">
      <c r="A17" s="33" t="s">
        <v>13</v>
      </c>
      <c r="B17" s="256" t="s">
        <v>11</v>
      </c>
      <c r="C17" s="256" t="s">
        <v>214</v>
      </c>
      <c r="D17" s="256" t="s">
        <v>509</v>
      </c>
      <c r="E17" s="256" t="s">
        <v>14</v>
      </c>
      <c r="F17" s="256"/>
      <c r="G17" s="254">
        <v>917484.71</v>
      </c>
      <c r="H17" s="241">
        <v>917484.71</v>
      </c>
      <c r="I17" s="241">
        <f>H17</f>
        <v>917484.71</v>
      </c>
      <c r="J17" s="257">
        <f>G17-H17</f>
        <v>0</v>
      </c>
    </row>
    <row r="18" spans="1:10" ht="12.75">
      <c r="A18" s="33"/>
      <c r="B18" s="256" t="s">
        <v>11</v>
      </c>
      <c r="C18" s="256" t="s">
        <v>214</v>
      </c>
      <c r="D18" s="256" t="s">
        <v>40</v>
      </c>
      <c r="E18" s="256" t="s">
        <v>510</v>
      </c>
      <c r="F18" s="256"/>
      <c r="G18" s="254">
        <v>0</v>
      </c>
      <c r="H18" s="241"/>
      <c r="I18" s="241"/>
      <c r="J18" s="257">
        <f>G18-H18</f>
        <v>0</v>
      </c>
    </row>
    <row r="19" spans="1:11" ht="38.25">
      <c r="A19" s="44" t="s">
        <v>5</v>
      </c>
      <c r="B19" s="247" t="s">
        <v>6</v>
      </c>
      <c r="C19" s="248"/>
      <c r="D19" s="248"/>
      <c r="E19" s="248"/>
      <c r="F19" s="248"/>
      <c r="G19" s="249">
        <f>SUM(G27:G33)+G25+G24+G21+G26</f>
        <v>207514.94</v>
      </c>
      <c r="H19" s="249">
        <f>SUM(H27:H33)+H25+H24+H21+H26</f>
        <v>117110.66</v>
      </c>
      <c r="I19" s="249">
        <f>SUM(I27:I33)+I25+I24+I21+I26</f>
        <v>117140.67</v>
      </c>
      <c r="J19" s="249">
        <f>SUM(J27:J33)+J25+J24+J21+J26</f>
        <v>90404.28</v>
      </c>
      <c r="K19" s="194"/>
    </row>
    <row r="20" spans="1:10" s="61" customFormat="1" ht="12.75">
      <c r="A20" s="58" t="s">
        <v>171</v>
      </c>
      <c r="B20" s="251"/>
      <c r="C20" s="252"/>
      <c r="D20" s="252"/>
      <c r="E20" s="252"/>
      <c r="F20" s="252"/>
      <c r="G20" s="254"/>
      <c r="H20" s="254"/>
      <c r="I20" s="254"/>
      <c r="J20" s="255"/>
    </row>
    <row r="21" spans="1:11" ht="25.5">
      <c r="A21" s="21" t="s">
        <v>136</v>
      </c>
      <c r="B21" s="256" t="s">
        <v>6</v>
      </c>
      <c r="C21" s="256" t="s">
        <v>215</v>
      </c>
      <c r="D21" s="256" t="s">
        <v>43</v>
      </c>
      <c r="E21" s="256" t="s">
        <v>10</v>
      </c>
      <c r="F21" s="256" t="s">
        <v>99</v>
      </c>
      <c r="G21" s="254">
        <v>4900</v>
      </c>
      <c r="H21" s="241">
        <v>0</v>
      </c>
      <c r="I21" s="241"/>
      <c r="J21" s="257">
        <f>G21-H21</f>
        <v>4900</v>
      </c>
      <c r="K21" s="187"/>
    </row>
    <row r="22" spans="1:11" ht="25.5">
      <c r="A22" s="21" t="s">
        <v>142</v>
      </c>
      <c r="B22" s="256" t="s">
        <v>6</v>
      </c>
      <c r="C22" s="256" t="s">
        <v>215</v>
      </c>
      <c r="D22" s="256" t="s">
        <v>146</v>
      </c>
      <c r="E22" s="256" t="s">
        <v>21</v>
      </c>
      <c r="F22" s="256" t="s">
        <v>99</v>
      </c>
      <c r="G22" s="254"/>
      <c r="H22" s="241"/>
      <c r="I22" s="241"/>
      <c r="J22" s="242"/>
      <c r="K22" s="187"/>
    </row>
    <row r="23" spans="1:11" ht="12.75">
      <c r="A23" s="21" t="s">
        <v>137</v>
      </c>
      <c r="B23" s="256" t="s">
        <v>6</v>
      </c>
      <c r="C23" s="256" t="s">
        <v>215</v>
      </c>
      <c r="D23" s="256" t="s">
        <v>146</v>
      </c>
      <c r="E23" s="256" t="s">
        <v>30</v>
      </c>
      <c r="F23" s="256" t="s">
        <v>99</v>
      </c>
      <c r="G23" s="254"/>
      <c r="H23" s="241"/>
      <c r="I23" s="241"/>
      <c r="J23" s="242"/>
      <c r="K23" s="187"/>
    </row>
    <row r="24" spans="1:11" ht="12.75">
      <c r="A24" s="21" t="s">
        <v>373</v>
      </c>
      <c r="B24" s="256" t="s">
        <v>6</v>
      </c>
      <c r="C24" s="256" t="s">
        <v>215</v>
      </c>
      <c r="D24" s="256" t="s">
        <v>43</v>
      </c>
      <c r="E24" s="256" t="s">
        <v>30</v>
      </c>
      <c r="F24" s="256" t="s">
        <v>99</v>
      </c>
      <c r="G24" s="254">
        <f>67000-15583</f>
        <v>51417</v>
      </c>
      <c r="H24" s="241">
        <v>0</v>
      </c>
      <c r="I24" s="241"/>
      <c r="J24" s="257">
        <f aca="true" t="shared" si="0" ref="J24:J29">G24-H24</f>
        <v>51417</v>
      </c>
      <c r="K24" s="187"/>
    </row>
    <row r="25" spans="1:10" ht="12.75">
      <c r="A25" s="21" t="s">
        <v>373</v>
      </c>
      <c r="B25" s="256" t="s">
        <v>6</v>
      </c>
      <c r="C25" s="256" t="s">
        <v>215</v>
      </c>
      <c r="D25" s="256" t="s">
        <v>146</v>
      </c>
      <c r="E25" s="256" t="s">
        <v>30</v>
      </c>
      <c r="F25" s="256" t="s">
        <v>99</v>
      </c>
      <c r="G25" s="241">
        <v>0</v>
      </c>
      <c r="H25" s="241"/>
      <c r="I25" s="241"/>
      <c r="J25" s="257">
        <f t="shared" si="0"/>
        <v>0</v>
      </c>
    </row>
    <row r="26" spans="1:10" ht="12.75">
      <c r="A26" s="21" t="s">
        <v>536</v>
      </c>
      <c r="B26" s="256" t="s">
        <v>6</v>
      </c>
      <c r="C26" s="256" t="s">
        <v>215</v>
      </c>
      <c r="D26" s="256" t="s">
        <v>146</v>
      </c>
      <c r="E26" s="256" t="s">
        <v>30</v>
      </c>
      <c r="F26" s="256" t="s">
        <v>126</v>
      </c>
      <c r="G26" s="241">
        <v>10000</v>
      </c>
      <c r="H26" s="241">
        <v>10000</v>
      </c>
      <c r="I26" s="241">
        <v>10000</v>
      </c>
      <c r="J26" s="257">
        <f t="shared" si="0"/>
        <v>0</v>
      </c>
    </row>
    <row r="27" spans="1:10" ht="12.75">
      <c r="A27" s="21" t="s">
        <v>373</v>
      </c>
      <c r="B27" s="256" t="s">
        <v>6</v>
      </c>
      <c r="C27" s="256" t="s">
        <v>215</v>
      </c>
      <c r="D27" s="256" t="s">
        <v>146</v>
      </c>
      <c r="E27" s="256" t="s">
        <v>30</v>
      </c>
      <c r="F27" s="256" t="s">
        <v>128</v>
      </c>
      <c r="G27" s="241"/>
      <c r="H27" s="241"/>
      <c r="I27" s="241"/>
      <c r="J27" s="257">
        <f t="shared" si="0"/>
        <v>0</v>
      </c>
    </row>
    <row r="28" spans="1:10" ht="12.75">
      <c r="A28" s="28" t="s">
        <v>35</v>
      </c>
      <c r="B28" s="256" t="s">
        <v>6</v>
      </c>
      <c r="C28" s="256" t="s">
        <v>215</v>
      </c>
      <c r="D28" s="256" t="s">
        <v>62</v>
      </c>
      <c r="E28" s="256" t="s">
        <v>39</v>
      </c>
      <c r="F28" s="256" t="s">
        <v>131</v>
      </c>
      <c r="G28" s="241">
        <f>25500-10000</f>
        <v>15500</v>
      </c>
      <c r="H28" s="241">
        <v>0</v>
      </c>
      <c r="I28" s="241"/>
      <c r="J28" s="257">
        <f t="shared" si="0"/>
        <v>15500</v>
      </c>
    </row>
    <row r="29" spans="1:11" ht="25.5">
      <c r="A29" s="28" t="s">
        <v>380</v>
      </c>
      <c r="B29" s="256" t="s">
        <v>6</v>
      </c>
      <c r="C29" s="256" t="s">
        <v>215</v>
      </c>
      <c r="D29" s="256" t="s">
        <v>62</v>
      </c>
      <c r="E29" s="256" t="s">
        <v>497</v>
      </c>
      <c r="F29" s="256" t="s">
        <v>133</v>
      </c>
      <c r="G29" s="254">
        <v>0</v>
      </c>
      <c r="H29" s="241"/>
      <c r="I29" s="241"/>
      <c r="J29" s="257">
        <f t="shared" si="0"/>
        <v>0</v>
      </c>
      <c r="K29" s="187"/>
    </row>
    <row r="30" spans="1:12" ht="25.5">
      <c r="A30" s="28" t="s">
        <v>151</v>
      </c>
      <c r="B30" s="256" t="s">
        <v>6</v>
      </c>
      <c r="C30" s="256" t="s">
        <v>215</v>
      </c>
      <c r="D30" s="256" t="s">
        <v>146</v>
      </c>
      <c r="E30" s="256" t="s">
        <v>36</v>
      </c>
      <c r="F30" s="256" t="s">
        <v>130</v>
      </c>
      <c r="G30" s="254"/>
      <c r="H30" s="241"/>
      <c r="I30" s="241"/>
      <c r="J30" s="242"/>
      <c r="K30" s="187"/>
      <c r="L30" s="83"/>
    </row>
    <row r="31" spans="1:13" ht="25.5">
      <c r="A31" s="28" t="s">
        <v>216</v>
      </c>
      <c r="B31" s="256" t="s">
        <v>6</v>
      </c>
      <c r="C31" s="256" t="s">
        <v>215</v>
      </c>
      <c r="D31" s="256" t="s">
        <v>146</v>
      </c>
      <c r="E31" s="256" t="s">
        <v>499</v>
      </c>
      <c r="F31" s="256" t="s">
        <v>165</v>
      </c>
      <c r="G31" s="254"/>
      <c r="H31" s="241"/>
      <c r="I31" s="241"/>
      <c r="J31" s="257">
        <f>G31-H31</f>
        <v>0</v>
      </c>
      <c r="K31" s="187"/>
      <c r="M31" s="126"/>
    </row>
    <row r="32" spans="1:13" ht="25.5">
      <c r="A32" s="28" t="s">
        <v>380</v>
      </c>
      <c r="B32" s="256" t="s">
        <v>6</v>
      </c>
      <c r="C32" s="256" t="s">
        <v>215</v>
      </c>
      <c r="D32" s="256" t="s">
        <v>146</v>
      </c>
      <c r="E32" s="256" t="s">
        <v>497</v>
      </c>
      <c r="F32" s="256" t="s">
        <v>133</v>
      </c>
      <c r="G32" s="254">
        <f>59330-1682</f>
        <v>57648</v>
      </c>
      <c r="H32" s="241">
        <v>39085.99</v>
      </c>
      <c r="I32" s="241">
        <f>12886+26230</f>
        <v>39116</v>
      </c>
      <c r="J32" s="257">
        <f>G32-H32</f>
        <v>18562.010000000002</v>
      </c>
      <c r="M32" s="126"/>
    </row>
    <row r="33" spans="1:13" ht="25.5">
      <c r="A33" s="28" t="s">
        <v>151</v>
      </c>
      <c r="B33" s="256" t="s">
        <v>6</v>
      </c>
      <c r="C33" s="256" t="s">
        <v>215</v>
      </c>
      <c r="D33" s="256" t="s">
        <v>146</v>
      </c>
      <c r="E33" s="256" t="s">
        <v>498</v>
      </c>
      <c r="F33" s="256" t="s">
        <v>130</v>
      </c>
      <c r="G33" s="254">
        <f>50784.94+1682+15583</f>
        <v>68049.94</v>
      </c>
      <c r="H33" s="241">
        <f>29800+13942.21+24282.46</f>
        <v>68024.67</v>
      </c>
      <c r="I33" s="241">
        <f>29800+13942.21+24282.46</f>
        <v>68024.67</v>
      </c>
      <c r="J33" s="257">
        <f>G33-H33</f>
        <v>25.270000000004075</v>
      </c>
      <c r="K33" s="187"/>
      <c r="M33" s="126"/>
    </row>
    <row r="34" spans="1:11" s="12" customFormat="1" ht="25.5">
      <c r="A34" s="44" t="s">
        <v>46</v>
      </c>
      <c r="B34" s="247" t="s">
        <v>47</v>
      </c>
      <c r="C34" s="247"/>
      <c r="D34" s="247"/>
      <c r="E34" s="247"/>
      <c r="F34" s="247"/>
      <c r="G34" s="52">
        <f>G36+G39+G59+G127+G37</f>
        <v>109732431.86000001</v>
      </c>
      <c r="H34" s="52">
        <f>H36+H39+H59+H127+H37</f>
        <v>106904317.19999999</v>
      </c>
      <c r="I34" s="52">
        <f>I36+I39+I59+I127+I37</f>
        <v>106853956.84999998</v>
      </c>
      <c r="J34" s="52">
        <f>J36+J39+J59+J127+J37</f>
        <v>2828114.660000001</v>
      </c>
      <c r="K34" s="159"/>
    </row>
    <row r="35" spans="1:10" s="60" customFormat="1" ht="12.75">
      <c r="A35" s="57" t="s">
        <v>172</v>
      </c>
      <c r="B35" s="251"/>
      <c r="C35" s="251"/>
      <c r="D35" s="251"/>
      <c r="E35" s="251"/>
      <c r="F35" s="251"/>
      <c r="G35" s="64"/>
      <c r="H35" s="64"/>
      <c r="I35" s="64"/>
      <c r="J35" s="133"/>
    </row>
    <row r="36" spans="1:11" s="60" customFormat="1" ht="25.5">
      <c r="A36" s="99" t="s">
        <v>478</v>
      </c>
      <c r="B36" s="258" t="s">
        <v>47</v>
      </c>
      <c r="C36" s="258" t="s">
        <v>404</v>
      </c>
      <c r="D36" s="258" t="s">
        <v>146</v>
      </c>
      <c r="E36" s="258" t="s">
        <v>30</v>
      </c>
      <c r="F36" s="258" t="s">
        <v>126</v>
      </c>
      <c r="G36" s="106">
        <v>269360</v>
      </c>
      <c r="H36" s="106">
        <f>5500+23000+15300+10000+22760+6500+47589+17500+21000+23400+49400+3000+8000+10000+1580</f>
        <v>264529</v>
      </c>
      <c r="I36" s="106">
        <f>269360</f>
        <v>269360</v>
      </c>
      <c r="J36" s="259">
        <f>G36-H36</f>
        <v>4831</v>
      </c>
      <c r="K36" s="187"/>
    </row>
    <row r="37" spans="1:10" s="60" customFormat="1" ht="25.5" hidden="1">
      <c r="A37" s="122" t="s">
        <v>217</v>
      </c>
      <c r="B37" s="251" t="s">
        <v>47</v>
      </c>
      <c r="C37" s="251" t="s">
        <v>404</v>
      </c>
      <c r="D37" s="251" t="s">
        <v>146</v>
      </c>
      <c r="E37" s="251" t="s">
        <v>30</v>
      </c>
      <c r="F37" s="251" t="s">
        <v>126</v>
      </c>
      <c r="G37" s="59">
        <v>0</v>
      </c>
      <c r="H37" s="59"/>
      <c r="I37" s="59"/>
      <c r="J37" s="59"/>
    </row>
    <row r="38" spans="1:10" s="60" customFormat="1" ht="12.75">
      <c r="A38" s="58" t="s">
        <v>171</v>
      </c>
      <c r="B38" s="260"/>
      <c r="C38" s="260"/>
      <c r="D38" s="260"/>
      <c r="E38" s="260"/>
      <c r="F38" s="260"/>
      <c r="G38" s="64"/>
      <c r="H38" s="64"/>
      <c r="I38" s="64"/>
      <c r="J38" s="133"/>
    </row>
    <row r="39" spans="1:11" s="60" customFormat="1" ht="38.25">
      <c r="A39" s="31" t="s">
        <v>232</v>
      </c>
      <c r="B39" s="261" t="s">
        <v>47</v>
      </c>
      <c r="C39" s="261" t="s">
        <v>215</v>
      </c>
      <c r="D39" s="261" t="s">
        <v>233</v>
      </c>
      <c r="E39" s="261"/>
      <c r="F39" s="261"/>
      <c r="G39" s="94">
        <f>G41+G46+G40</f>
        <v>97372107.68</v>
      </c>
      <c r="H39" s="94">
        <f>H41+H46+H40</f>
        <v>96663397.32999998</v>
      </c>
      <c r="I39" s="94">
        <f>I41+I46+I40</f>
        <v>96658897.32999998</v>
      </c>
      <c r="J39" s="94">
        <f>J41+J46+J40</f>
        <v>708710.350000001</v>
      </c>
      <c r="K39" s="200"/>
    </row>
    <row r="40" spans="1:10" s="60" customFormat="1" ht="12.75">
      <c r="A40" s="31"/>
      <c r="B40" s="262" t="s">
        <v>47</v>
      </c>
      <c r="C40" s="252" t="s">
        <v>215</v>
      </c>
      <c r="D40" s="263" t="s">
        <v>43</v>
      </c>
      <c r="E40" s="263" t="s">
        <v>510</v>
      </c>
      <c r="F40" s="264"/>
      <c r="G40" s="148">
        <v>0</v>
      </c>
      <c r="H40" s="148"/>
      <c r="I40" s="148"/>
      <c r="J40" s="94">
        <f>G40-H40</f>
        <v>0</v>
      </c>
    </row>
    <row r="41" spans="1:10" s="60" customFormat="1" ht="25.5">
      <c r="A41" s="93" t="s">
        <v>228</v>
      </c>
      <c r="B41" s="261" t="s">
        <v>47</v>
      </c>
      <c r="C41" s="251" t="s">
        <v>215</v>
      </c>
      <c r="D41" s="261"/>
      <c r="E41" s="261"/>
      <c r="F41" s="261"/>
      <c r="G41" s="94">
        <f>G42+G44+G43+G45</f>
        <v>93798054.03</v>
      </c>
      <c r="H41" s="94">
        <f>H42+H44+H43+H45</f>
        <v>93290489.27999999</v>
      </c>
      <c r="I41" s="94">
        <f>I42+I44+I43+I45</f>
        <v>93290489.27999999</v>
      </c>
      <c r="J41" s="94">
        <f>J42+J44+J43+J45</f>
        <v>507564.75000000093</v>
      </c>
    </row>
    <row r="42" spans="1:11" s="10" customFormat="1" ht="12.75">
      <c r="A42" s="23" t="s">
        <v>8</v>
      </c>
      <c r="B42" s="252" t="s">
        <v>47</v>
      </c>
      <c r="C42" s="252" t="s">
        <v>215</v>
      </c>
      <c r="D42" s="252" t="s">
        <v>40</v>
      </c>
      <c r="E42" s="265" t="s">
        <v>9</v>
      </c>
      <c r="F42" s="265"/>
      <c r="G42" s="254">
        <v>72952051.97</v>
      </c>
      <c r="H42" s="254">
        <v>72886793.91</v>
      </c>
      <c r="I42" s="254">
        <f>H42</f>
        <v>72886793.91</v>
      </c>
      <c r="J42" s="254">
        <f>G42-H42</f>
        <v>65258.060000002384</v>
      </c>
      <c r="K42" s="145"/>
    </row>
    <row r="43" spans="1:10" s="10" customFormat="1" ht="12.75">
      <c r="A43" s="23" t="s">
        <v>8</v>
      </c>
      <c r="B43" s="252" t="s">
        <v>47</v>
      </c>
      <c r="C43" s="252" t="s">
        <v>215</v>
      </c>
      <c r="D43" s="252" t="s">
        <v>40</v>
      </c>
      <c r="E43" s="265" t="s">
        <v>510</v>
      </c>
      <c r="F43" s="265"/>
      <c r="G43" s="266">
        <f>150000+74000+73027.5</f>
        <v>297027.5</v>
      </c>
      <c r="H43" s="254">
        <v>258040.71</v>
      </c>
      <c r="I43" s="254">
        <f>H43</f>
        <v>258040.71</v>
      </c>
      <c r="J43" s="254">
        <f>G43-H43</f>
        <v>38986.79000000001</v>
      </c>
    </row>
    <row r="44" spans="1:10" ht="12.75">
      <c r="A44" s="29" t="s">
        <v>13</v>
      </c>
      <c r="B44" s="262" t="s">
        <v>47</v>
      </c>
      <c r="C44" s="252" t="s">
        <v>215</v>
      </c>
      <c r="D44" s="263" t="s">
        <v>509</v>
      </c>
      <c r="E44" s="263" t="s">
        <v>14</v>
      </c>
      <c r="F44" s="267"/>
      <c r="G44" s="254">
        <v>20548974.56</v>
      </c>
      <c r="H44" s="268">
        <v>20145654.66</v>
      </c>
      <c r="I44" s="254">
        <f>H44</f>
        <v>20145654.66</v>
      </c>
      <c r="J44" s="254">
        <f>G44-H44</f>
        <v>403319.8999999985</v>
      </c>
    </row>
    <row r="45" spans="1:10" ht="12.75">
      <c r="A45" s="29" t="s">
        <v>13</v>
      </c>
      <c r="B45" s="262" t="s">
        <v>47</v>
      </c>
      <c r="C45" s="252" t="s">
        <v>215</v>
      </c>
      <c r="D45" s="263" t="s">
        <v>43</v>
      </c>
      <c r="E45" s="263" t="s">
        <v>510</v>
      </c>
      <c r="F45" s="263"/>
      <c r="G45" s="269">
        <f>150000-150000</f>
        <v>0</v>
      </c>
      <c r="H45" s="254"/>
      <c r="I45" s="254"/>
      <c r="J45" s="254">
        <f>G45-H45</f>
        <v>0</v>
      </c>
    </row>
    <row r="46" spans="1:10" ht="38.25">
      <c r="A46" s="96" t="s">
        <v>229</v>
      </c>
      <c r="B46" s="270" t="s">
        <v>47</v>
      </c>
      <c r="C46" s="251" t="s">
        <v>215</v>
      </c>
      <c r="D46" s="270" t="s">
        <v>43</v>
      </c>
      <c r="E46" s="270"/>
      <c r="F46" s="270"/>
      <c r="G46" s="271">
        <f>G47+G49+G50+G53+G54+G56+G51+G55+G52+G57+G58</f>
        <v>3574053.65</v>
      </c>
      <c r="H46" s="271">
        <f>H47+H49+H50+H53+H54+H56+H51+H55+H52+H57+H58</f>
        <v>3372908.05</v>
      </c>
      <c r="I46" s="271">
        <f>I47+I49+I50+I53+I54+I56+I51+I55+I52+I57+I58</f>
        <v>3368408.05</v>
      </c>
      <c r="J46" s="271">
        <f>J47+J49+J50+J53+J54+J56+J51+J55+J52+J57+J58</f>
        <v>201145.6000000001</v>
      </c>
    </row>
    <row r="47" spans="1:12" ht="25.5">
      <c r="A47" s="29" t="s">
        <v>136</v>
      </c>
      <c r="B47" s="263" t="s">
        <v>47</v>
      </c>
      <c r="C47" s="252" t="s">
        <v>215</v>
      </c>
      <c r="D47" s="263" t="s">
        <v>43</v>
      </c>
      <c r="E47" s="263" t="s">
        <v>10</v>
      </c>
      <c r="F47" s="263" t="s">
        <v>99</v>
      </c>
      <c r="G47" s="254">
        <f>200000-26500-100000+15000</f>
        <v>88500</v>
      </c>
      <c r="H47" s="254">
        <v>82600</v>
      </c>
      <c r="I47" s="254">
        <f>H47</f>
        <v>82600</v>
      </c>
      <c r="J47" s="272">
        <f>G47-H47</f>
        <v>5900</v>
      </c>
      <c r="K47" s="187"/>
      <c r="L47" s="194"/>
    </row>
    <row r="48" spans="1:10" s="10" customFormat="1" ht="12.75">
      <c r="A48" s="26" t="s">
        <v>13</v>
      </c>
      <c r="B48" s="252" t="s">
        <v>47</v>
      </c>
      <c r="C48" s="252" t="s">
        <v>215</v>
      </c>
      <c r="D48" s="252" t="s">
        <v>40</v>
      </c>
      <c r="E48" s="265" t="s">
        <v>14</v>
      </c>
      <c r="F48" s="265"/>
      <c r="G48" s="254"/>
      <c r="H48" s="254"/>
      <c r="I48" s="254"/>
      <c r="J48" s="273">
        <f aca="true" t="shared" si="1" ref="J48:J58">G48-H48</f>
        <v>0</v>
      </c>
    </row>
    <row r="49" spans="1:10" s="10" customFormat="1" ht="51">
      <c r="A49" s="27" t="s">
        <v>230</v>
      </c>
      <c r="B49" s="252" t="s">
        <v>47</v>
      </c>
      <c r="C49" s="252" t="s">
        <v>215</v>
      </c>
      <c r="D49" s="252" t="s">
        <v>43</v>
      </c>
      <c r="E49" s="265" t="s">
        <v>21</v>
      </c>
      <c r="F49" s="265" t="s">
        <v>99</v>
      </c>
      <c r="G49" s="254"/>
      <c r="H49" s="254"/>
      <c r="I49" s="254"/>
      <c r="J49" s="273">
        <f t="shared" si="1"/>
        <v>0</v>
      </c>
    </row>
    <row r="50" spans="1:10" s="10" customFormat="1" ht="38.25">
      <c r="A50" s="27" t="s">
        <v>231</v>
      </c>
      <c r="B50" s="252" t="s">
        <v>47</v>
      </c>
      <c r="C50" s="252" t="s">
        <v>215</v>
      </c>
      <c r="D50" s="252" t="s">
        <v>43</v>
      </c>
      <c r="E50" s="265" t="s">
        <v>30</v>
      </c>
      <c r="F50" s="265" t="s">
        <v>99</v>
      </c>
      <c r="G50" s="254"/>
      <c r="H50" s="254"/>
      <c r="I50" s="254"/>
      <c r="J50" s="273">
        <f t="shared" si="1"/>
        <v>0</v>
      </c>
    </row>
    <row r="51" spans="1:10" s="10" customFormat="1" ht="25.5">
      <c r="A51" s="95" t="s">
        <v>104</v>
      </c>
      <c r="B51" s="262" t="s">
        <v>47</v>
      </c>
      <c r="C51" s="252" t="s">
        <v>215</v>
      </c>
      <c r="D51" s="262" t="s">
        <v>43</v>
      </c>
      <c r="E51" s="263" t="s">
        <v>500</v>
      </c>
      <c r="F51" s="263" t="s">
        <v>97</v>
      </c>
      <c r="G51" s="254">
        <f>2563344+350000</f>
        <v>2913344</v>
      </c>
      <c r="H51" s="254">
        <v>2849632.4</v>
      </c>
      <c r="I51" s="254">
        <f>H51</f>
        <v>2849632.4</v>
      </c>
      <c r="J51" s="254">
        <f>G51-H51</f>
        <v>63711.60000000009</v>
      </c>
    </row>
    <row r="52" spans="1:10" s="10" customFormat="1" ht="12.75">
      <c r="A52" s="95"/>
      <c r="B52" s="262" t="s">
        <v>47</v>
      </c>
      <c r="C52" s="252" t="s">
        <v>215</v>
      </c>
      <c r="D52" s="262" t="s">
        <v>43</v>
      </c>
      <c r="E52" s="263" t="s">
        <v>21</v>
      </c>
      <c r="F52" s="263" t="s">
        <v>117</v>
      </c>
      <c r="G52" s="254">
        <f>88000-29190-4500</f>
        <v>54310</v>
      </c>
      <c r="H52" s="254">
        <v>0</v>
      </c>
      <c r="I52" s="254"/>
      <c r="J52" s="254">
        <f>G52-H52</f>
        <v>54310</v>
      </c>
    </row>
    <row r="53" spans="1:15" s="10" customFormat="1" ht="25.5">
      <c r="A53" s="29" t="s">
        <v>502</v>
      </c>
      <c r="B53" s="252" t="s">
        <v>47</v>
      </c>
      <c r="C53" s="252" t="s">
        <v>215</v>
      </c>
      <c r="D53" s="252" t="s">
        <v>43</v>
      </c>
      <c r="E53" s="265" t="s">
        <v>30</v>
      </c>
      <c r="F53" s="265" t="s">
        <v>99</v>
      </c>
      <c r="G53" s="254">
        <f>578000-200000-191500-15000</f>
        <v>171500</v>
      </c>
      <c r="H53" s="254">
        <v>94276</v>
      </c>
      <c r="I53" s="254">
        <f>H53</f>
        <v>94276</v>
      </c>
      <c r="J53" s="272">
        <f t="shared" si="1"/>
        <v>77224</v>
      </c>
      <c r="K53" s="187"/>
      <c r="L53" s="145"/>
      <c r="M53" s="145"/>
      <c r="N53" s="145"/>
      <c r="O53" s="145"/>
    </row>
    <row r="54" spans="1:10" s="10" customFormat="1" ht="12.75">
      <c r="A54" s="29" t="s">
        <v>35</v>
      </c>
      <c r="B54" s="252" t="s">
        <v>47</v>
      </c>
      <c r="C54" s="252" t="s">
        <v>215</v>
      </c>
      <c r="D54" s="252" t="s">
        <v>43</v>
      </c>
      <c r="E54" s="265" t="s">
        <v>30</v>
      </c>
      <c r="F54" s="265" t="s">
        <v>157</v>
      </c>
      <c r="G54" s="254"/>
      <c r="H54" s="254"/>
      <c r="I54" s="254">
        <f>H54</f>
        <v>0</v>
      </c>
      <c r="J54" s="273">
        <f t="shared" si="1"/>
        <v>0</v>
      </c>
    </row>
    <row r="55" spans="1:10" s="10" customFormat="1" ht="12.75">
      <c r="A55" s="29" t="s">
        <v>518</v>
      </c>
      <c r="B55" s="252" t="s">
        <v>47</v>
      </c>
      <c r="C55" s="252" t="s">
        <v>215</v>
      </c>
      <c r="D55" s="252" t="s">
        <v>43</v>
      </c>
      <c r="E55" s="265" t="s">
        <v>510</v>
      </c>
      <c r="F55" s="265"/>
      <c r="G55" s="254"/>
      <c r="H55" s="254"/>
      <c r="I55" s="254"/>
      <c r="J55" s="273">
        <f t="shared" si="1"/>
        <v>0</v>
      </c>
    </row>
    <row r="56" spans="1:11" s="10" customFormat="1" ht="25.5">
      <c r="A56" s="23" t="s">
        <v>218</v>
      </c>
      <c r="B56" s="252" t="s">
        <v>47</v>
      </c>
      <c r="C56" s="252" t="s">
        <v>215</v>
      </c>
      <c r="D56" s="252" t="s">
        <v>43</v>
      </c>
      <c r="E56" s="265" t="s">
        <v>501</v>
      </c>
      <c r="F56" s="265" t="s">
        <v>157</v>
      </c>
      <c r="G56" s="254">
        <f>250000+41680+4500+12709.65</f>
        <v>308889.65</v>
      </c>
      <c r="H56" s="254">
        <f>291680+4500+12709.65</f>
        <v>308889.65</v>
      </c>
      <c r="I56" s="254">
        <f>291680+12709.65</f>
        <v>304389.65</v>
      </c>
      <c r="J56" s="273">
        <f t="shared" si="1"/>
        <v>0</v>
      </c>
      <c r="K56" s="145"/>
    </row>
    <row r="57" spans="1:11" s="10" customFormat="1" ht="12.75">
      <c r="A57" s="23"/>
      <c r="B57" s="262" t="s">
        <v>47</v>
      </c>
      <c r="C57" s="252" t="s">
        <v>215</v>
      </c>
      <c r="D57" s="263" t="s">
        <v>43</v>
      </c>
      <c r="E57" s="263" t="s">
        <v>500</v>
      </c>
      <c r="F57" s="263" t="s">
        <v>117</v>
      </c>
      <c r="G57" s="254"/>
      <c r="H57" s="254"/>
      <c r="I57" s="254"/>
      <c r="J57" s="273">
        <f t="shared" si="1"/>
        <v>0</v>
      </c>
      <c r="K57" s="145"/>
    </row>
    <row r="58" spans="1:11" s="10" customFormat="1" ht="12.75">
      <c r="A58" s="23" t="s">
        <v>555</v>
      </c>
      <c r="B58" s="262" t="s">
        <v>47</v>
      </c>
      <c r="C58" s="252" t="s">
        <v>215</v>
      </c>
      <c r="D58" s="263" t="s">
        <v>43</v>
      </c>
      <c r="E58" s="263" t="s">
        <v>30</v>
      </c>
      <c r="F58" s="263" t="s">
        <v>128</v>
      </c>
      <c r="G58" s="254">
        <f>50000-12490</f>
        <v>37510</v>
      </c>
      <c r="H58" s="254">
        <v>37510</v>
      </c>
      <c r="I58" s="254">
        <f>H58</f>
        <v>37510</v>
      </c>
      <c r="J58" s="272">
        <f t="shared" si="1"/>
        <v>0</v>
      </c>
      <c r="K58" s="145"/>
    </row>
    <row r="59" spans="1:10" s="9" customFormat="1" ht="12.75">
      <c r="A59" s="25" t="s">
        <v>220</v>
      </c>
      <c r="B59" s="251" t="s">
        <v>47</v>
      </c>
      <c r="C59" s="251" t="s">
        <v>215</v>
      </c>
      <c r="D59" s="251" t="s">
        <v>219</v>
      </c>
      <c r="E59" s="274"/>
      <c r="F59" s="274"/>
      <c r="G59" s="275">
        <f>G60+G79</f>
        <v>10934296.18</v>
      </c>
      <c r="H59" s="275">
        <f>H60+H79</f>
        <v>9013069.010000002</v>
      </c>
      <c r="I59" s="276">
        <f>I60+I79</f>
        <v>9925699.52</v>
      </c>
      <c r="J59" s="276">
        <f>J60+J79</f>
        <v>1921227.17</v>
      </c>
    </row>
    <row r="60" spans="1:10" s="9" customFormat="1" ht="38.25">
      <c r="A60" s="25" t="s">
        <v>225</v>
      </c>
      <c r="B60" s="251" t="s">
        <v>47</v>
      </c>
      <c r="C60" s="251" t="s">
        <v>215</v>
      </c>
      <c r="D60" s="251" t="s">
        <v>62</v>
      </c>
      <c r="E60" s="274"/>
      <c r="F60" s="274"/>
      <c r="G60" s="275">
        <f>G61+G63+G64+G76+G77+G78+G62+G75</f>
        <v>2937477.66</v>
      </c>
      <c r="H60" s="275">
        <f>H61+H63+H64+H76+H77+H78+H62+H75</f>
        <v>2807470.62</v>
      </c>
      <c r="I60" s="275">
        <f>I61+I63+I64+I76+I77+I78+I62+I75</f>
        <v>2929534.09</v>
      </c>
      <c r="J60" s="275">
        <f>J61+J63+J64+J76+J77+J78+J62+J75</f>
        <v>130007.04000000004</v>
      </c>
    </row>
    <row r="61" spans="1:11" s="10" customFormat="1" ht="12.75">
      <c r="A61" s="23" t="s">
        <v>45</v>
      </c>
      <c r="B61" s="252" t="s">
        <v>47</v>
      </c>
      <c r="C61" s="252" t="s">
        <v>215</v>
      </c>
      <c r="D61" s="252" t="s">
        <v>62</v>
      </c>
      <c r="E61" s="252" t="s">
        <v>19</v>
      </c>
      <c r="F61" s="252"/>
      <c r="G61" s="277">
        <f>672512.04-122512</f>
        <v>550000.04</v>
      </c>
      <c r="H61" s="278">
        <v>426083.75</v>
      </c>
      <c r="I61" s="277">
        <f>37800+50000+394465.32+15720+25287.1</f>
        <v>523272.42</v>
      </c>
      <c r="J61" s="273">
        <f>G61-H61</f>
        <v>123916.29000000004</v>
      </c>
      <c r="K61" s="181"/>
    </row>
    <row r="62" spans="1:11" s="10" customFormat="1" ht="12.75">
      <c r="A62" s="23" t="s">
        <v>537</v>
      </c>
      <c r="B62" s="252" t="s">
        <v>47</v>
      </c>
      <c r="C62" s="252" t="s">
        <v>215</v>
      </c>
      <c r="D62" s="252" t="s">
        <v>62</v>
      </c>
      <c r="E62" s="256" t="s">
        <v>27</v>
      </c>
      <c r="F62" s="256" t="s">
        <v>122</v>
      </c>
      <c r="G62" s="277"/>
      <c r="H62" s="278"/>
      <c r="I62" s="277"/>
      <c r="J62" s="273">
        <f>G62-H62</f>
        <v>0</v>
      </c>
      <c r="K62" s="142"/>
    </row>
    <row r="63" spans="1:11" s="10" customFormat="1" ht="25.5">
      <c r="A63" s="23" t="s">
        <v>221</v>
      </c>
      <c r="B63" s="252" t="s">
        <v>47</v>
      </c>
      <c r="C63" s="252" t="s">
        <v>215</v>
      </c>
      <c r="D63" s="252" t="s">
        <v>62</v>
      </c>
      <c r="E63" s="256" t="s">
        <v>27</v>
      </c>
      <c r="F63" s="256" t="s">
        <v>124</v>
      </c>
      <c r="G63" s="277">
        <f>351000+62305+16400</f>
        <v>429705</v>
      </c>
      <c r="H63" s="277">
        <v>429687.81</v>
      </c>
      <c r="I63" s="277">
        <f>351000+78700</f>
        <v>429700</v>
      </c>
      <c r="J63" s="273">
        <f>G63-H63</f>
        <v>17.19000000000233</v>
      </c>
      <c r="K63" s="181"/>
    </row>
    <row r="64" spans="1:11" s="10" customFormat="1" ht="25.5">
      <c r="A64" s="22" t="s">
        <v>111</v>
      </c>
      <c r="B64" s="251" t="s">
        <v>47</v>
      </c>
      <c r="C64" s="251" t="s">
        <v>215</v>
      </c>
      <c r="D64" s="251" t="s">
        <v>62</v>
      </c>
      <c r="E64" s="279" t="s">
        <v>30</v>
      </c>
      <c r="F64" s="279" t="s">
        <v>127</v>
      </c>
      <c r="G64" s="59">
        <f>G65+G66+G67+G68+G69+G70+G72+G71+G73+G74</f>
        <v>1248824.6</v>
      </c>
      <c r="H64" s="59">
        <f>H65+H66+H67+H68+H69+H70+H72+H71+H73+H74</f>
        <v>1244528.3399999999</v>
      </c>
      <c r="I64" s="59">
        <f>I65+I66+I67+I68+I69+I70+I72+I71+I73+I74</f>
        <v>1269113.37</v>
      </c>
      <c r="J64" s="59">
        <f>J65+J66+J67+J68+J69+J70+J72+J71+J73+J74</f>
        <v>4296.259999999951</v>
      </c>
      <c r="K64" s="181"/>
    </row>
    <row r="65" spans="1:10" s="10" customFormat="1" ht="15">
      <c r="A65" s="204" t="s">
        <v>587</v>
      </c>
      <c r="B65" s="252"/>
      <c r="C65" s="252"/>
      <c r="D65" s="252"/>
      <c r="E65" s="256"/>
      <c r="F65" s="256"/>
      <c r="G65" s="277">
        <v>7200</v>
      </c>
      <c r="H65" s="277">
        <v>6792</v>
      </c>
      <c r="I65" s="277">
        <v>6792</v>
      </c>
      <c r="J65" s="280">
        <f aca="true" t="shared" si="2" ref="J65:J77">G65-H65</f>
        <v>408</v>
      </c>
    </row>
    <row r="66" spans="1:10" s="10" customFormat="1" ht="15">
      <c r="A66" s="204" t="s">
        <v>588</v>
      </c>
      <c r="B66" s="252"/>
      <c r="C66" s="252"/>
      <c r="D66" s="252"/>
      <c r="E66" s="256"/>
      <c r="F66" s="256"/>
      <c r="G66" s="277">
        <v>17000</v>
      </c>
      <c r="H66" s="277"/>
      <c r="I66" s="277">
        <v>17000</v>
      </c>
      <c r="J66" s="280">
        <f t="shared" si="2"/>
        <v>17000</v>
      </c>
    </row>
    <row r="67" spans="1:10" s="10" customFormat="1" ht="15">
      <c r="A67" s="205" t="s">
        <v>589</v>
      </c>
      <c r="B67" s="252"/>
      <c r="C67" s="252"/>
      <c r="D67" s="252"/>
      <c r="E67" s="256"/>
      <c r="F67" s="256"/>
      <c r="G67" s="277">
        <v>45000</v>
      </c>
      <c r="H67" s="277">
        <f>28900+41400</f>
        <v>70300</v>
      </c>
      <c r="I67" s="277">
        <v>45000</v>
      </c>
      <c r="J67" s="280">
        <f t="shared" si="2"/>
        <v>-25300</v>
      </c>
    </row>
    <row r="68" spans="1:10" s="10" customFormat="1" ht="45">
      <c r="A68" s="204" t="s">
        <v>590</v>
      </c>
      <c r="B68" s="252"/>
      <c r="C68" s="252"/>
      <c r="D68" s="252"/>
      <c r="E68" s="256"/>
      <c r="F68" s="256"/>
      <c r="G68" s="277">
        <v>260000.4</v>
      </c>
      <c r="H68" s="277">
        <f>156261.19+65838.33</f>
        <v>222099.52000000002</v>
      </c>
      <c r="I68" s="277">
        <f>156261.19+65838.33</f>
        <v>222099.52000000002</v>
      </c>
      <c r="J68" s="280">
        <f t="shared" si="2"/>
        <v>37900.879999999976</v>
      </c>
    </row>
    <row r="69" spans="1:10" s="10" customFormat="1" ht="15">
      <c r="A69" s="204" t="s">
        <v>591</v>
      </c>
      <c r="B69" s="252"/>
      <c r="C69" s="252"/>
      <c r="D69" s="252"/>
      <c r="E69" s="256"/>
      <c r="F69" s="256"/>
      <c r="G69" s="277">
        <v>37500</v>
      </c>
      <c r="H69" s="277">
        <v>19614.97</v>
      </c>
      <c r="I69" s="277">
        <v>37500</v>
      </c>
      <c r="J69" s="280">
        <f t="shared" si="2"/>
        <v>17885.03</v>
      </c>
    </row>
    <row r="70" spans="1:10" s="10" customFormat="1" ht="45">
      <c r="A70" s="204" t="s">
        <v>634</v>
      </c>
      <c r="B70" s="252"/>
      <c r="C70" s="252"/>
      <c r="D70" s="252"/>
      <c r="E70" s="256"/>
      <c r="F70" s="256"/>
      <c r="G70" s="277">
        <f>45000+216190+20600</f>
        <v>281790</v>
      </c>
      <c r="H70" s="277">
        <f>40200+20000+94800+38950+49012.5+70609+15580+20600+27332.5+38950+34850</f>
        <v>450884</v>
      </c>
      <c r="I70" s="277">
        <f>40200+20000+94800+49012.5+38950+70609+15580+20600+27332.5+38950+34850</f>
        <v>450884</v>
      </c>
      <c r="J70" s="280">
        <f t="shared" si="2"/>
        <v>-169094</v>
      </c>
    </row>
    <row r="71" spans="1:10" s="10" customFormat="1" ht="30.75" thickBot="1">
      <c r="A71" s="206" t="s">
        <v>592</v>
      </c>
      <c r="B71" s="252"/>
      <c r="C71" s="252"/>
      <c r="D71" s="252"/>
      <c r="E71" s="256"/>
      <c r="F71" s="256"/>
      <c r="G71" s="277">
        <v>15000</v>
      </c>
      <c r="H71" s="277"/>
      <c r="I71" s="277">
        <v>15000</v>
      </c>
      <c r="J71" s="280">
        <f t="shared" si="2"/>
        <v>15000</v>
      </c>
    </row>
    <row r="72" spans="1:10" s="10" customFormat="1" ht="30.75" thickBot="1">
      <c r="A72" s="206" t="s">
        <v>593</v>
      </c>
      <c r="B72" s="252"/>
      <c r="C72" s="252"/>
      <c r="D72" s="252"/>
      <c r="E72" s="256"/>
      <c r="F72" s="256"/>
      <c r="G72" s="277">
        <v>180000</v>
      </c>
      <c r="H72" s="277">
        <v>180000</v>
      </c>
      <c r="I72" s="277">
        <v>180000</v>
      </c>
      <c r="J72" s="280">
        <f t="shared" si="2"/>
        <v>0</v>
      </c>
    </row>
    <row r="73" spans="1:10" s="10" customFormat="1" ht="45.75" thickBot="1">
      <c r="A73" s="207" t="s">
        <v>594</v>
      </c>
      <c r="B73" s="252"/>
      <c r="C73" s="252"/>
      <c r="D73" s="252"/>
      <c r="E73" s="256"/>
      <c r="F73" s="256"/>
      <c r="G73" s="277">
        <v>90000</v>
      </c>
      <c r="H73" s="277">
        <v>11450</v>
      </c>
      <c r="I73" s="277">
        <v>11450</v>
      </c>
      <c r="J73" s="280">
        <f t="shared" si="2"/>
        <v>78550</v>
      </c>
    </row>
    <row r="74" spans="1:11" s="10" customFormat="1" ht="15">
      <c r="A74" s="208" t="s">
        <v>624</v>
      </c>
      <c r="B74" s="252"/>
      <c r="C74" s="252"/>
      <c r="D74" s="252"/>
      <c r="E74" s="256"/>
      <c r="F74" s="256"/>
      <c r="G74" s="277">
        <f>114649.2+478320-277635</f>
        <v>315334.19999999995</v>
      </c>
      <c r="H74" s="277">
        <f>41189.98+21141.26+13967+165625.86+41463.75</f>
        <v>283387.85</v>
      </c>
      <c r="I74" s="277">
        <f>41189.98+21141.26+165625.86+13967+41463.75</f>
        <v>283387.85</v>
      </c>
      <c r="J74" s="280">
        <f t="shared" si="2"/>
        <v>31946.349999999977</v>
      </c>
      <c r="K74" s="145"/>
    </row>
    <row r="75" spans="1:10" s="10" customFormat="1" ht="12.75">
      <c r="A75" s="203" t="s">
        <v>546</v>
      </c>
      <c r="B75" s="252" t="s">
        <v>47</v>
      </c>
      <c r="C75" s="252" t="s">
        <v>215</v>
      </c>
      <c r="D75" s="252" t="s">
        <v>62</v>
      </c>
      <c r="E75" s="256" t="s">
        <v>30</v>
      </c>
      <c r="F75" s="256" t="s">
        <v>128</v>
      </c>
      <c r="G75" s="64">
        <v>0</v>
      </c>
      <c r="H75" s="64"/>
      <c r="I75" s="64"/>
      <c r="J75" s="273">
        <f t="shared" si="2"/>
        <v>0</v>
      </c>
    </row>
    <row r="76" spans="1:11" s="10" customFormat="1" ht="24">
      <c r="A76" s="87" t="s">
        <v>222</v>
      </c>
      <c r="B76" s="252" t="s">
        <v>47</v>
      </c>
      <c r="C76" s="252" t="s">
        <v>215</v>
      </c>
      <c r="D76" s="252" t="s">
        <v>62</v>
      </c>
      <c r="E76" s="256" t="s">
        <v>39</v>
      </c>
      <c r="F76" s="256" t="s">
        <v>131</v>
      </c>
      <c r="G76" s="64">
        <f>157000-12592.48+62754+4638.48+13200</f>
        <v>225000</v>
      </c>
      <c r="H76" s="64">
        <f>211800+13200</f>
        <v>225000</v>
      </c>
      <c r="I76" s="64">
        <f>211800+13200</f>
        <v>225000</v>
      </c>
      <c r="J76" s="273">
        <f t="shared" si="2"/>
        <v>0</v>
      </c>
      <c r="K76" s="171"/>
    </row>
    <row r="77" spans="1:13" s="10" customFormat="1" ht="24">
      <c r="A77" s="87" t="s">
        <v>223</v>
      </c>
      <c r="B77" s="252" t="s">
        <v>47</v>
      </c>
      <c r="C77" s="252" t="s">
        <v>215</v>
      </c>
      <c r="D77" s="252" t="s">
        <v>62</v>
      </c>
      <c r="E77" s="256" t="s">
        <v>497</v>
      </c>
      <c r="F77" s="256" t="s">
        <v>133</v>
      </c>
      <c r="G77" s="64">
        <f>201689.3+15000+147916.72+12592.48+47141-4638.48+75000-10753</f>
        <v>483948.02</v>
      </c>
      <c r="H77" s="64">
        <f>147916.72+263995+559+69700</f>
        <v>482170.72</v>
      </c>
      <c r="I77" s="64">
        <f>201689.3+210500+559+69700</f>
        <v>482448.3</v>
      </c>
      <c r="J77" s="273">
        <f t="shared" si="2"/>
        <v>1777.3000000000466</v>
      </c>
      <c r="K77" s="212"/>
      <c r="L77" s="3"/>
      <c r="M77" s="3"/>
    </row>
    <row r="78" spans="1:10" s="10" customFormat="1" ht="25.5">
      <c r="A78" s="23" t="s">
        <v>504</v>
      </c>
      <c r="B78" s="252" t="s">
        <v>47</v>
      </c>
      <c r="C78" s="252" t="s">
        <v>215</v>
      </c>
      <c r="D78" s="252" t="s">
        <v>62</v>
      </c>
      <c r="E78" s="256" t="s">
        <v>503</v>
      </c>
      <c r="F78" s="256" t="s">
        <v>127</v>
      </c>
      <c r="G78" s="64">
        <f>485000+90000-118715-456285</f>
        <v>0</v>
      </c>
      <c r="H78" s="64"/>
      <c r="I78" s="64"/>
      <c r="J78" s="273">
        <f>G78-H78</f>
        <v>0</v>
      </c>
    </row>
    <row r="79" spans="1:11" s="10" customFormat="1" ht="24">
      <c r="A79" s="88" t="s">
        <v>226</v>
      </c>
      <c r="B79" s="251" t="s">
        <v>47</v>
      </c>
      <c r="C79" s="251" t="s">
        <v>215</v>
      </c>
      <c r="D79" s="251" t="s">
        <v>146</v>
      </c>
      <c r="E79" s="279"/>
      <c r="F79" s="279"/>
      <c r="G79" s="59">
        <f>G80+G81+G85+G90+G105+G115+G117+G119+G113+G97</f>
        <v>7996818.52</v>
      </c>
      <c r="H79" s="59">
        <f>H80+H81+H85+H90+H105+H115+H117+H119+H113+H97</f>
        <v>6205598.390000001</v>
      </c>
      <c r="I79" s="59">
        <f>I80+I81+I85+I90+I105+I115+I117+I119+I113</f>
        <v>6996165.429999999</v>
      </c>
      <c r="J79" s="59">
        <f>J80+J81+J85+J90+J105+J115+J117+J119+J113+J97</f>
        <v>1791220.13</v>
      </c>
      <c r="K79" s="199"/>
    </row>
    <row r="80" spans="1:11" s="10" customFormat="1" ht="12.75">
      <c r="A80" s="23" t="s">
        <v>224</v>
      </c>
      <c r="B80" s="252" t="s">
        <v>47</v>
      </c>
      <c r="C80" s="252" t="s">
        <v>215</v>
      </c>
      <c r="D80" s="252" t="s">
        <v>146</v>
      </c>
      <c r="E80" s="256" t="s">
        <v>19</v>
      </c>
      <c r="F80" s="256"/>
      <c r="G80" s="64">
        <v>220000</v>
      </c>
      <c r="H80" s="64">
        <v>183719.2</v>
      </c>
      <c r="I80" s="64">
        <f>17000+180000+1313</f>
        <v>198313</v>
      </c>
      <c r="J80" s="273">
        <f>G80-H80</f>
        <v>36280.79999999999</v>
      </c>
      <c r="K80" s="181"/>
    </row>
    <row r="81" spans="1:10" s="10" customFormat="1" ht="12.75">
      <c r="A81" s="90" t="s">
        <v>20</v>
      </c>
      <c r="B81" s="281" t="s">
        <v>47</v>
      </c>
      <c r="C81" s="282" t="s">
        <v>215</v>
      </c>
      <c r="D81" s="282" t="s">
        <v>146</v>
      </c>
      <c r="E81" s="281" t="s">
        <v>21</v>
      </c>
      <c r="F81" s="281"/>
      <c r="G81" s="283">
        <f>G83+G84+G82</f>
        <v>0</v>
      </c>
      <c r="H81" s="284">
        <f>H83+H84+H82</f>
        <v>0</v>
      </c>
      <c r="I81" s="285">
        <f>I83+I84+I82</f>
        <v>0</v>
      </c>
      <c r="J81" s="284">
        <f>J83+J84+J82</f>
        <v>0</v>
      </c>
    </row>
    <row r="82" spans="1:10" s="10" customFormat="1" ht="38.25">
      <c r="A82" s="32" t="s">
        <v>105</v>
      </c>
      <c r="B82" s="265" t="s">
        <v>47</v>
      </c>
      <c r="C82" s="286" t="s">
        <v>215</v>
      </c>
      <c r="D82" s="287" t="s">
        <v>43</v>
      </c>
      <c r="E82" s="287" t="s">
        <v>21</v>
      </c>
      <c r="F82" s="287" t="s">
        <v>99</v>
      </c>
      <c r="G82" s="288"/>
      <c r="H82" s="289"/>
      <c r="I82" s="289"/>
      <c r="J82" s="273"/>
    </row>
    <row r="83" spans="1:10" ht="38.25">
      <c r="A83" s="32" t="s">
        <v>105</v>
      </c>
      <c r="B83" s="265" t="s">
        <v>47</v>
      </c>
      <c r="C83" s="286" t="s">
        <v>215</v>
      </c>
      <c r="D83" s="287" t="s">
        <v>146</v>
      </c>
      <c r="E83" s="287" t="s">
        <v>21</v>
      </c>
      <c r="F83" s="287" t="s">
        <v>99</v>
      </c>
      <c r="G83" s="288">
        <v>0</v>
      </c>
      <c r="H83" s="289"/>
      <c r="I83" s="289"/>
      <c r="J83" s="257"/>
    </row>
    <row r="84" spans="1:11" ht="12.75">
      <c r="A84" s="89" t="s">
        <v>168</v>
      </c>
      <c r="B84" s="265" t="s">
        <v>47</v>
      </c>
      <c r="C84" s="286" t="s">
        <v>215</v>
      </c>
      <c r="D84" s="287" t="s">
        <v>146</v>
      </c>
      <c r="E84" s="287" t="s">
        <v>21</v>
      </c>
      <c r="F84" s="287" t="s">
        <v>117</v>
      </c>
      <c r="G84" s="290">
        <f>150000-50000-48659-19500-31841</f>
        <v>0</v>
      </c>
      <c r="H84" s="291"/>
      <c r="I84" s="291"/>
      <c r="J84" s="257">
        <f>G84-H84</f>
        <v>0</v>
      </c>
      <c r="K84" s="145"/>
    </row>
    <row r="85" spans="1:10" s="10" customFormat="1" ht="12.75">
      <c r="A85" s="90" t="s">
        <v>23</v>
      </c>
      <c r="B85" s="281" t="s">
        <v>47</v>
      </c>
      <c r="C85" s="282" t="s">
        <v>215</v>
      </c>
      <c r="D85" s="282" t="s">
        <v>146</v>
      </c>
      <c r="E85" s="281" t="s">
        <v>24</v>
      </c>
      <c r="F85" s="281"/>
      <c r="G85" s="283">
        <f>G86+G87+G88+G89</f>
        <v>2392713.4999999995</v>
      </c>
      <c r="H85" s="283">
        <f>H86+H87+H88+H89</f>
        <v>2243286.89</v>
      </c>
      <c r="I85" s="284">
        <f>I86+I87+I88+I89</f>
        <v>2380547.15</v>
      </c>
      <c r="J85" s="284">
        <f>J86+J87+J88+J89</f>
        <v>149426.60999999987</v>
      </c>
    </row>
    <row r="86" spans="1:14" ht="12.75">
      <c r="A86" s="91" t="s">
        <v>106</v>
      </c>
      <c r="B86" s="287" t="s">
        <v>47</v>
      </c>
      <c r="C86" s="286" t="s">
        <v>215</v>
      </c>
      <c r="D86" s="287" t="s">
        <v>615</v>
      </c>
      <c r="E86" s="287" t="s">
        <v>24</v>
      </c>
      <c r="F86" s="287" t="s">
        <v>147</v>
      </c>
      <c r="G86" s="290">
        <f>1955014-72893.62-266000-53234.4-100498+11500</f>
        <v>1473887.98</v>
      </c>
      <c r="H86" s="290">
        <v>1462769.83</v>
      </c>
      <c r="I86" s="290">
        <f>1462387.71</f>
        <v>1462387.71</v>
      </c>
      <c r="J86" s="241">
        <f>G86-H86</f>
        <v>11118.149999999907</v>
      </c>
      <c r="K86" s="83"/>
      <c r="L86" s="134"/>
      <c r="M86" s="134"/>
      <c r="N86" s="134"/>
    </row>
    <row r="87" spans="1:11" ht="25.5">
      <c r="A87" s="91" t="s">
        <v>107</v>
      </c>
      <c r="B87" s="287" t="s">
        <v>47</v>
      </c>
      <c r="C87" s="286" t="s">
        <v>215</v>
      </c>
      <c r="D87" s="287" t="s">
        <v>615</v>
      </c>
      <c r="E87" s="287" t="s">
        <v>24</v>
      </c>
      <c r="F87" s="287" t="s">
        <v>118</v>
      </c>
      <c r="G87" s="290">
        <f>732857.9-128000</f>
        <v>604857.9</v>
      </c>
      <c r="H87" s="290">
        <f>525250+78941.82</f>
        <v>604191.8200000001</v>
      </c>
      <c r="I87" s="290">
        <f>525250+78941.82</f>
        <v>604191.8200000001</v>
      </c>
      <c r="J87" s="292">
        <f>G87-H87</f>
        <v>666.0799999999581</v>
      </c>
      <c r="K87" s="181"/>
    </row>
    <row r="88" spans="1:13" ht="25.5">
      <c r="A88" s="91" t="s">
        <v>108</v>
      </c>
      <c r="B88" s="287" t="s">
        <v>47</v>
      </c>
      <c r="C88" s="286" t="s">
        <v>215</v>
      </c>
      <c r="D88" s="287" t="s">
        <v>146</v>
      </c>
      <c r="E88" s="287" t="s">
        <v>24</v>
      </c>
      <c r="F88" s="287" t="s">
        <v>119</v>
      </c>
      <c r="G88" s="290">
        <f>192692+53614.78</f>
        <v>246306.78</v>
      </c>
      <c r="H88" s="290">
        <v>132228.05</v>
      </c>
      <c r="I88" s="290">
        <f>45308.9+200997.88</f>
        <v>246306.78</v>
      </c>
      <c r="J88" s="241">
        <f>G88-H88</f>
        <v>114078.73000000001</v>
      </c>
      <c r="K88" s="134"/>
      <c r="L88" s="134"/>
      <c r="M88" s="134"/>
    </row>
    <row r="89" spans="1:10" ht="12.75">
      <c r="A89" s="91" t="s">
        <v>109</v>
      </c>
      <c r="B89" s="287" t="s">
        <v>47</v>
      </c>
      <c r="C89" s="286" t="s">
        <v>215</v>
      </c>
      <c r="D89" s="287" t="s">
        <v>146</v>
      </c>
      <c r="E89" s="287" t="s">
        <v>24</v>
      </c>
      <c r="F89" s="287" t="s">
        <v>120</v>
      </c>
      <c r="G89" s="290">
        <f>48382+19278.84</f>
        <v>67660.84</v>
      </c>
      <c r="H89" s="290">
        <v>44097.19</v>
      </c>
      <c r="I89" s="290">
        <f>67660.84</f>
        <v>67660.84</v>
      </c>
      <c r="J89" s="241">
        <f>G89-H89</f>
        <v>23563.649999999994</v>
      </c>
    </row>
    <row r="90" spans="1:10" ht="12.75">
      <c r="A90" s="92" t="s">
        <v>26</v>
      </c>
      <c r="B90" s="293" t="s">
        <v>47</v>
      </c>
      <c r="C90" s="282" t="s">
        <v>215</v>
      </c>
      <c r="D90" s="293" t="s">
        <v>146</v>
      </c>
      <c r="E90" s="293" t="s">
        <v>27</v>
      </c>
      <c r="F90" s="293"/>
      <c r="G90" s="294">
        <f>G92+G98+G91</f>
        <v>1059421.6</v>
      </c>
      <c r="H90" s="294">
        <f>H92+H98+H91</f>
        <v>880972.79</v>
      </c>
      <c r="I90" s="294">
        <f>I92+I98+I91</f>
        <v>969214.53</v>
      </c>
      <c r="J90" s="294">
        <f>J92+J98+J91</f>
        <v>178448.81</v>
      </c>
    </row>
    <row r="91" spans="1:33" s="225" customFormat="1" ht="12.75">
      <c r="A91" s="230" t="s">
        <v>465</v>
      </c>
      <c r="B91" s="295" t="s">
        <v>47</v>
      </c>
      <c r="C91" s="252" t="s">
        <v>215</v>
      </c>
      <c r="D91" s="295" t="s">
        <v>146</v>
      </c>
      <c r="E91" s="295" t="s">
        <v>27</v>
      </c>
      <c r="F91" s="295" t="s">
        <v>122</v>
      </c>
      <c r="G91" s="254">
        <f>115800+100000-10540</f>
        <v>205260</v>
      </c>
      <c r="H91" s="254">
        <f>7560+14500+19100+14600+14260+11400+22450+25570+17425+25750</f>
        <v>172615</v>
      </c>
      <c r="I91" s="254">
        <f>115800+9660+14260+11400+22450+25570</f>
        <v>199140</v>
      </c>
      <c r="J91" s="254">
        <f>G91-H91</f>
        <v>32645</v>
      </c>
      <c r="K91" s="144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</row>
    <row r="92" spans="1:11" s="3" customFormat="1" ht="25.5">
      <c r="A92" s="201" t="s">
        <v>227</v>
      </c>
      <c r="B92" s="279" t="s">
        <v>47</v>
      </c>
      <c r="C92" s="251" t="s">
        <v>215</v>
      </c>
      <c r="D92" s="279" t="s">
        <v>146</v>
      </c>
      <c r="E92" s="279" t="s">
        <v>27</v>
      </c>
      <c r="F92" s="279" t="s">
        <v>121</v>
      </c>
      <c r="G92" s="59">
        <f>G93+G94+G96</f>
        <v>372640.89999999997</v>
      </c>
      <c r="H92" s="59">
        <f>H93+H94+H96</f>
        <v>372640.64</v>
      </c>
      <c r="I92" s="59">
        <f>I93+I94+I96</f>
        <v>335837.99</v>
      </c>
      <c r="J92" s="59">
        <f>J93+J94+J96</f>
        <v>0.25999999998566636</v>
      </c>
      <c r="K92" s="219"/>
    </row>
    <row r="93" spans="1:11" s="3" customFormat="1" ht="25.5">
      <c r="A93" s="39" t="s">
        <v>155</v>
      </c>
      <c r="B93" s="296"/>
      <c r="C93" s="296"/>
      <c r="D93" s="296"/>
      <c r="E93" s="296"/>
      <c r="F93" s="296"/>
      <c r="G93" s="288">
        <f>302954.6-70000</f>
        <v>232954.59999999998</v>
      </c>
      <c r="H93" s="288">
        <f>227204.89+6368.11</f>
        <v>233573</v>
      </c>
      <c r="I93" s="288">
        <f>227204.89+6368.11</f>
        <v>233573</v>
      </c>
      <c r="J93" s="288">
        <f aca="true" t="shared" si="3" ref="J93:J104">G93-H93</f>
        <v>-618.4000000000233</v>
      </c>
      <c r="K93" s="217"/>
    </row>
    <row r="94" spans="1:11" s="3" customFormat="1" ht="12.75">
      <c r="A94" s="39" t="s">
        <v>579</v>
      </c>
      <c r="B94" s="296"/>
      <c r="C94" s="296"/>
      <c r="D94" s="296"/>
      <c r="E94" s="296"/>
      <c r="F94" s="296"/>
      <c r="G94" s="288">
        <f>87655.8+37000+424.3</f>
        <v>125080.1</v>
      </c>
      <c r="H94" s="288">
        <f>43827.89+80074+556.56</f>
        <v>124458.45</v>
      </c>
      <c r="I94" s="288">
        <v>87655.8</v>
      </c>
      <c r="J94" s="288">
        <f t="shared" si="3"/>
        <v>621.6500000000087</v>
      </c>
      <c r="K94" s="217"/>
    </row>
    <row r="95" spans="1:11" s="3" customFormat="1" ht="25.5">
      <c r="A95" s="30" t="s">
        <v>115</v>
      </c>
      <c r="B95" s="256" t="s">
        <v>47</v>
      </c>
      <c r="C95" s="252" t="s">
        <v>215</v>
      </c>
      <c r="D95" s="256" t="s">
        <v>146</v>
      </c>
      <c r="E95" s="256" t="s">
        <v>27</v>
      </c>
      <c r="F95" s="256" t="s">
        <v>123</v>
      </c>
      <c r="G95" s="288">
        <v>0</v>
      </c>
      <c r="H95" s="289"/>
      <c r="I95" s="289"/>
      <c r="J95" s="288">
        <f t="shared" si="3"/>
        <v>0</v>
      </c>
      <c r="K95" s="217"/>
    </row>
    <row r="96" spans="1:11" s="3" customFormat="1" ht="12.75">
      <c r="A96" s="39" t="s">
        <v>580</v>
      </c>
      <c r="B96" s="296"/>
      <c r="C96" s="286"/>
      <c r="D96" s="296"/>
      <c r="E96" s="296"/>
      <c r="F96" s="296"/>
      <c r="G96" s="288">
        <v>14606.2</v>
      </c>
      <c r="H96" s="289">
        <v>14609.19</v>
      </c>
      <c r="I96" s="289">
        <f>14609.19</f>
        <v>14609.19</v>
      </c>
      <c r="J96" s="288">
        <f t="shared" si="3"/>
        <v>-2.9899999999997817</v>
      </c>
      <c r="K96" s="217"/>
    </row>
    <row r="97" spans="1:11" s="3" customFormat="1" ht="25.5">
      <c r="A97" s="29" t="s">
        <v>581</v>
      </c>
      <c r="B97" s="256" t="s">
        <v>47</v>
      </c>
      <c r="C97" s="252" t="s">
        <v>215</v>
      </c>
      <c r="D97" s="256" t="s">
        <v>146</v>
      </c>
      <c r="E97" s="256" t="s">
        <v>24</v>
      </c>
      <c r="F97" s="256" t="s">
        <v>531</v>
      </c>
      <c r="G97" s="64">
        <v>15000</v>
      </c>
      <c r="H97" s="272">
        <v>12997.19</v>
      </c>
      <c r="I97" s="272">
        <v>12997.19</v>
      </c>
      <c r="J97" s="289">
        <f t="shared" si="3"/>
        <v>2002.8099999999995</v>
      </c>
      <c r="K97" s="145"/>
    </row>
    <row r="98" spans="1:12" s="3" customFormat="1" ht="25.5">
      <c r="A98" s="201" t="s">
        <v>152</v>
      </c>
      <c r="B98" s="279" t="s">
        <v>47</v>
      </c>
      <c r="C98" s="251" t="s">
        <v>215</v>
      </c>
      <c r="D98" s="279" t="s">
        <v>146</v>
      </c>
      <c r="E98" s="279" t="s">
        <v>27</v>
      </c>
      <c r="F98" s="279" t="s">
        <v>124</v>
      </c>
      <c r="G98" s="59">
        <f>G99+G100+G101+G104+G103</f>
        <v>481520.7</v>
      </c>
      <c r="H98" s="59">
        <f>H99+H100+H101+H104+H103</f>
        <v>335717.15</v>
      </c>
      <c r="I98" s="59">
        <f>I99+I100+I101+I104+I103</f>
        <v>434236.54</v>
      </c>
      <c r="J98" s="59">
        <f>J99+J100+J101+J104+J103</f>
        <v>145803.55000000002</v>
      </c>
      <c r="K98" s="218"/>
      <c r="L98" s="219"/>
    </row>
    <row r="99" spans="1:11" s="3" customFormat="1" ht="25.5">
      <c r="A99" s="39" t="s">
        <v>584</v>
      </c>
      <c r="B99" s="296"/>
      <c r="C99" s="286"/>
      <c r="D99" s="296"/>
      <c r="E99" s="296"/>
      <c r="F99" s="296"/>
      <c r="G99" s="288">
        <v>281545.4</v>
      </c>
      <c r="H99" s="288">
        <f>261800-98519.39</f>
        <v>163280.61</v>
      </c>
      <c r="I99" s="288">
        <v>261800</v>
      </c>
      <c r="J99" s="288">
        <f>G99-H99</f>
        <v>118264.79000000004</v>
      </c>
      <c r="K99" s="217"/>
    </row>
    <row r="100" spans="1:11" s="3" customFormat="1" ht="25.5">
      <c r="A100" s="39" t="s">
        <v>583</v>
      </c>
      <c r="B100" s="296"/>
      <c r="C100" s="296"/>
      <c r="D100" s="296"/>
      <c r="E100" s="296"/>
      <c r="F100" s="296"/>
      <c r="G100" s="288">
        <f>131833.3-100000</f>
        <v>31833.29999999999</v>
      </c>
      <c r="H100" s="288">
        <f>18000+15840.54</f>
        <v>33840.54</v>
      </c>
      <c r="I100" s="288">
        <f>18000+15840.54</f>
        <v>33840.54</v>
      </c>
      <c r="J100" s="288">
        <f t="shared" si="3"/>
        <v>-2007.2400000000125</v>
      </c>
      <c r="K100" s="215"/>
    </row>
    <row r="101" spans="1:11" s="3" customFormat="1" ht="25.5">
      <c r="A101" s="39" t="s">
        <v>582</v>
      </c>
      <c r="B101" s="296"/>
      <c r="C101" s="296"/>
      <c r="D101" s="296"/>
      <c r="E101" s="296"/>
      <c r="F101" s="296"/>
      <c r="G101" s="288">
        <f>113490+23902</f>
        <v>137392</v>
      </c>
      <c r="H101" s="288">
        <v>137392</v>
      </c>
      <c r="I101" s="288">
        <v>137392</v>
      </c>
      <c r="J101" s="288">
        <f t="shared" si="3"/>
        <v>0</v>
      </c>
      <c r="K101" s="202"/>
    </row>
    <row r="102" spans="1:10" s="3" customFormat="1" ht="12.75">
      <c r="A102" s="29" t="s">
        <v>158</v>
      </c>
      <c r="B102" s="256" t="s">
        <v>47</v>
      </c>
      <c r="C102" s="252" t="s">
        <v>215</v>
      </c>
      <c r="D102" s="256" t="s">
        <v>62</v>
      </c>
      <c r="E102" s="256" t="s">
        <v>27</v>
      </c>
      <c r="F102" s="296" t="s">
        <v>124</v>
      </c>
      <c r="G102" s="64"/>
      <c r="H102" s="272"/>
      <c r="I102" s="272"/>
      <c r="J102" s="289">
        <f t="shared" si="3"/>
        <v>0</v>
      </c>
    </row>
    <row r="103" spans="1:10" s="3" customFormat="1" ht="12.75">
      <c r="A103" s="39" t="s">
        <v>586</v>
      </c>
      <c r="B103" s="296"/>
      <c r="C103" s="286"/>
      <c r="D103" s="296"/>
      <c r="E103" s="296"/>
      <c r="F103" s="296"/>
      <c r="G103" s="288">
        <v>22500</v>
      </c>
      <c r="H103" s="289"/>
      <c r="I103" s="289"/>
      <c r="J103" s="288">
        <f t="shared" si="3"/>
        <v>22500</v>
      </c>
    </row>
    <row r="104" spans="1:10" s="3" customFormat="1" ht="12.75">
      <c r="A104" s="29" t="s">
        <v>585</v>
      </c>
      <c r="B104" s="256"/>
      <c r="C104" s="252"/>
      <c r="D104" s="256"/>
      <c r="E104" s="256"/>
      <c r="F104" s="296"/>
      <c r="G104" s="64">
        <v>8250</v>
      </c>
      <c r="H104" s="272">
        <v>1204</v>
      </c>
      <c r="I104" s="272">
        <v>1204</v>
      </c>
      <c r="J104" s="288">
        <f t="shared" si="3"/>
        <v>7046</v>
      </c>
    </row>
    <row r="105" spans="1:10" s="10" customFormat="1" ht="12.75">
      <c r="A105" s="90" t="s">
        <v>29</v>
      </c>
      <c r="B105" s="281" t="s">
        <v>47</v>
      </c>
      <c r="C105" s="282" t="s">
        <v>215</v>
      </c>
      <c r="D105" s="282" t="s">
        <v>146</v>
      </c>
      <c r="E105" s="281" t="s">
        <v>30</v>
      </c>
      <c r="F105" s="281"/>
      <c r="G105" s="283">
        <f>G106+G107+G108</f>
        <v>1722427.02</v>
      </c>
      <c r="H105" s="284">
        <f>H106+H107+H108</f>
        <v>1129800.22</v>
      </c>
      <c r="I105" s="284">
        <f>I106+I107+I108</f>
        <v>1699461.8599999999</v>
      </c>
      <c r="J105" s="284">
        <f>J106+J107+J108</f>
        <v>592626.8</v>
      </c>
    </row>
    <row r="106" spans="1:10" s="5" customFormat="1" ht="38.25">
      <c r="A106" s="27" t="s">
        <v>110</v>
      </c>
      <c r="B106" s="256" t="s">
        <v>47</v>
      </c>
      <c r="C106" s="252" t="s">
        <v>215</v>
      </c>
      <c r="D106" s="256" t="s">
        <v>146</v>
      </c>
      <c r="E106" s="256" t="s">
        <v>30</v>
      </c>
      <c r="F106" s="252" t="s">
        <v>99</v>
      </c>
      <c r="G106" s="64">
        <f>578000-100000-37000-41000</f>
        <v>400000</v>
      </c>
      <c r="H106" s="272">
        <v>172000</v>
      </c>
      <c r="I106" s="272">
        <v>400000</v>
      </c>
      <c r="J106" s="272">
        <f>G106-H106</f>
        <v>228000</v>
      </c>
    </row>
    <row r="107" spans="1:10" s="5" customFormat="1" ht="12.75">
      <c r="A107" s="27" t="s">
        <v>159</v>
      </c>
      <c r="B107" s="256" t="s">
        <v>47</v>
      </c>
      <c r="C107" s="252" t="s">
        <v>215</v>
      </c>
      <c r="D107" s="256" t="s">
        <v>146</v>
      </c>
      <c r="E107" s="256" t="s">
        <v>30</v>
      </c>
      <c r="F107" s="256" t="s">
        <v>125</v>
      </c>
      <c r="G107" s="64">
        <v>50000</v>
      </c>
      <c r="H107" s="272">
        <f>12061.74+34655.74</f>
        <v>46717.479999999996</v>
      </c>
      <c r="I107" s="272">
        <f>12061.74+34655.74</f>
        <v>46717.479999999996</v>
      </c>
      <c r="J107" s="272">
        <f>G107-H107</f>
        <v>3282.520000000004</v>
      </c>
    </row>
    <row r="108" spans="1:17" s="5" customFormat="1" ht="15">
      <c r="A108" s="53" t="s">
        <v>153</v>
      </c>
      <c r="B108" s="279" t="s">
        <v>47</v>
      </c>
      <c r="C108" s="251" t="s">
        <v>215</v>
      </c>
      <c r="D108" s="279" t="s">
        <v>146</v>
      </c>
      <c r="E108" s="279" t="s">
        <v>30</v>
      </c>
      <c r="F108" s="279" t="s">
        <v>128</v>
      </c>
      <c r="G108" s="59">
        <f>G109+G110+G111+G112</f>
        <v>1272427.02</v>
      </c>
      <c r="H108" s="59">
        <f>H109+H110+H111+H112</f>
        <v>911082.74</v>
      </c>
      <c r="I108" s="59">
        <f>I109+I110+I111+I112</f>
        <v>1252744.38</v>
      </c>
      <c r="J108" s="59">
        <f>J109+J110+J111+J112</f>
        <v>361344.28</v>
      </c>
      <c r="K108" s="170"/>
      <c r="L108" s="185"/>
      <c r="M108" s="185"/>
      <c r="N108" s="185"/>
      <c r="O108" s="185"/>
      <c r="P108" s="185"/>
      <c r="Q108" s="75"/>
    </row>
    <row r="109" spans="1:10" s="5" customFormat="1" ht="25.5">
      <c r="A109" s="32" t="s">
        <v>596</v>
      </c>
      <c r="B109" s="296"/>
      <c r="C109" s="296"/>
      <c r="D109" s="296"/>
      <c r="E109" s="296"/>
      <c r="F109" s="296"/>
      <c r="G109" s="64">
        <f>118673.6+58438.04+525934.68+250000+32668.32</f>
        <v>985714.64</v>
      </c>
      <c r="H109" s="64">
        <f>705699.29+3500-53856.93</f>
        <v>655342.36</v>
      </c>
      <c r="I109" s="64">
        <v>700000</v>
      </c>
      <c r="J109" s="64">
        <f>G109-H109</f>
        <v>330372.28</v>
      </c>
    </row>
    <row r="110" spans="1:10" s="5" customFormat="1" ht="12.75">
      <c r="A110" s="32" t="s">
        <v>595</v>
      </c>
      <c r="B110" s="296"/>
      <c r="C110" s="296"/>
      <c r="D110" s="296"/>
      <c r="E110" s="296"/>
      <c r="F110" s="296"/>
      <c r="G110" s="64">
        <f>200004+23816</f>
        <v>223820</v>
      </c>
      <c r="H110" s="64">
        <v>223816</v>
      </c>
      <c r="I110" s="64">
        <f>200000+23820</f>
        <v>223820</v>
      </c>
      <c r="J110" s="64">
        <f>G110-H110</f>
        <v>4</v>
      </c>
    </row>
    <row r="111" spans="1:12" s="5" customFormat="1" ht="25.5">
      <c r="A111" s="32" t="s">
        <v>597</v>
      </c>
      <c r="B111" s="296"/>
      <c r="C111" s="296"/>
      <c r="D111" s="296"/>
      <c r="E111" s="296"/>
      <c r="F111" s="296"/>
      <c r="G111" s="64">
        <f>297000+20000-173660+157260-269632</f>
        <v>30968</v>
      </c>
      <c r="H111" s="64">
        <v>0</v>
      </c>
      <c r="I111" s="64">
        <v>297000</v>
      </c>
      <c r="J111" s="64">
        <f>G111-H111</f>
        <v>30968</v>
      </c>
      <c r="K111" s="14"/>
      <c r="L111" s="14"/>
    </row>
    <row r="112" spans="1:12" s="5" customFormat="1" ht="25.5">
      <c r="A112" s="32" t="s">
        <v>622</v>
      </c>
      <c r="B112" s="296"/>
      <c r="C112" s="296"/>
      <c r="D112" s="296"/>
      <c r="E112" s="296"/>
      <c r="F112" s="296"/>
      <c r="G112" s="64">
        <f>465017-400000-424.3-32668.32</f>
        <v>31924.379999999997</v>
      </c>
      <c r="H112" s="64">
        <v>31924.38</v>
      </c>
      <c r="I112" s="64">
        <v>31924.38</v>
      </c>
      <c r="J112" s="64">
        <f>G112-H112</f>
        <v>0</v>
      </c>
      <c r="K112" s="215"/>
      <c r="L112" s="14"/>
    </row>
    <row r="113" spans="1:10" s="5" customFormat="1" ht="12.75">
      <c r="A113" s="90" t="s">
        <v>29</v>
      </c>
      <c r="B113" s="297" t="s">
        <v>47</v>
      </c>
      <c r="C113" s="298" t="s">
        <v>215</v>
      </c>
      <c r="D113" s="297" t="s">
        <v>146</v>
      </c>
      <c r="E113" s="299" t="s">
        <v>505</v>
      </c>
      <c r="F113" s="299"/>
      <c r="G113" s="300">
        <f>G114</f>
        <v>7000</v>
      </c>
      <c r="H113" s="301">
        <f>H114</f>
        <v>4483.21</v>
      </c>
      <c r="I113" s="301">
        <f>I114</f>
        <v>7000</v>
      </c>
      <c r="J113" s="301">
        <f>J114</f>
        <v>2516.79</v>
      </c>
    </row>
    <row r="114" spans="1:11" s="5" customFormat="1" ht="25.5">
      <c r="A114" s="27" t="s">
        <v>200</v>
      </c>
      <c r="B114" s="256" t="s">
        <v>47</v>
      </c>
      <c r="C114" s="252" t="s">
        <v>215</v>
      </c>
      <c r="D114" s="256" t="s">
        <v>146</v>
      </c>
      <c r="E114" s="256" t="s">
        <v>505</v>
      </c>
      <c r="F114" s="252" t="s">
        <v>201</v>
      </c>
      <c r="G114" s="64">
        <v>7000</v>
      </c>
      <c r="H114" s="272">
        <f>1992.27+2490.94</f>
        <v>4483.21</v>
      </c>
      <c r="I114" s="272">
        <v>7000</v>
      </c>
      <c r="J114" s="272">
        <f>G114-H114</f>
        <v>2516.79</v>
      </c>
      <c r="K114" s="181"/>
    </row>
    <row r="115" spans="1:10" s="9" customFormat="1" ht="12.75">
      <c r="A115" s="90" t="s">
        <v>35</v>
      </c>
      <c r="B115" s="281" t="s">
        <v>47</v>
      </c>
      <c r="C115" s="282" t="s">
        <v>215</v>
      </c>
      <c r="D115" s="282" t="s">
        <v>146</v>
      </c>
      <c r="E115" s="281" t="s">
        <v>36</v>
      </c>
      <c r="F115" s="281"/>
      <c r="G115" s="283">
        <f>G116</f>
        <v>0</v>
      </c>
      <c r="H115" s="284">
        <f>H116</f>
        <v>0</v>
      </c>
      <c r="I115" s="284">
        <f>I116</f>
        <v>0</v>
      </c>
      <c r="J115" s="284">
        <f>J116</f>
        <v>0</v>
      </c>
    </row>
    <row r="116" spans="1:10" s="5" customFormat="1" ht="25.5">
      <c r="A116" s="28" t="s">
        <v>202</v>
      </c>
      <c r="B116" s="256" t="s">
        <v>47</v>
      </c>
      <c r="C116" s="252" t="s">
        <v>215</v>
      </c>
      <c r="D116" s="256" t="s">
        <v>146</v>
      </c>
      <c r="E116" s="256" t="s">
        <v>36</v>
      </c>
      <c r="F116" s="252" t="s">
        <v>134</v>
      </c>
      <c r="G116" s="64">
        <v>0</v>
      </c>
      <c r="H116" s="272"/>
      <c r="I116" s="272"/>
      <c r="J116" s="302"/>
    </row>
    <row r="117" spans="1:10" s="5" customFormat="1" ht="12.75">
      <c r="A117" s="97" t="s">
        <v>38</v>
      </c>
      <c r="B117" s="303" t="s">
        <v>47</v>
      </c>
      <c r="C117" s="304" t="s">
        <v>215</v>
      </c>
      <c r="D117" s="304" t="s">
        <v>146</v>
      </c>
      <c r="E117" s="303" t="s">
        <v>39</v>
      </c>
      <c r="F117" s="304"/>
      <c r="G117" s="305">
        <f>G118</f>
        <v>131253</v>
      </c>
      <c r="H117" s="306">
        <f>H118</f>
        <v>131252.68</v>
      </c>
      <c r="I117" s="306">
        <f>I118</f>
        <v>131252.68</v>
      </c>
      <c r="J117" s="306">
        <f>J118</f>
        <v>0.3200000000069849</v>
      </c>
    </row>
    <row r="118" spans="1:11" s="5" customFormat="1" ht="12.75">
      <c r="A118" s="30" t="s">
        <v>138</v>
      </c>
      <c r="B118" s="256" t="s">
        <v>47</v>
      </c>
      <c r="C118" s="252" t="s">
        <v>215</v>
      </c>
      <c r="D118" s="252" t="s">
        <v>146</v>
      </c>
      <c r="E118" s="256" t="s">
        <v>39</v>
      </c>
      <c r="F118" s="256" t="s">
        <v>131</v>
      </c>
      <c r="G118" s="64">
        <f>198000-179700+2900+107000-2447+5500</f>
        <v>131253</v>
      </c>
      <c r="H118" s="272">
        <f>59684.08+6868.6+27000+21200+11000+5500</f>
        <v>131252.68</v>
      </c>
      <c r="I118" s="307">
        <f>21200+59684.08+6868.6+27000+11000+5500</f>
        <v>131252.68</v>
      </c>
      <c r="J118" s="272">
        <f>G118-H118</f>
        <v>0.3200000000069849</v>
      </c>
      <c r="K118" s="142"/>
    </row>
    <row r="119" spans="1:39" s="5" customFormat="1" ht="12.75">
      <c r="A119" s="116" t="s">
        <v>38</v>
      </c>
      <c r="B119" s="282" t="s">
        <v>47</v>
      </c>
      <c r="C119" s="304" t="s">
        <v>215</v>
      </c>
      <c r="D119" s="304" t="s">
        <v>146</v>
      </c>
      <c r="E119" s="304" t="s">
        <v>42</v>
      </c>
      <c r="F119" s="252"/>
      <c r="G119" s="283">
        <f>G120+G121</f>
        <v>2449003.4</v>
      </c>
      <c r="H119" s="283">
        <f>H120+H121</f>
        <v>1619086.21</v>
      </c>
      <c r="I119" s="283">
        <f>I120+I121</f>
        <v>1610376.21</v>
      </c>
      <c r="J119" s="283">
        <f>J120+J121</f>
        <v>829917.19</v>
      </c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</row>
    <row r="120" spans="1:39" s="147" customFormat="1" ht="12.75">
      <c r="A120" s="188" t="s">
        <v>164</v>
      </c>
      <c r="B120" s="252" t="s">
        <v>47</v>
      </c>
      <c r="C120" s="252" t="s">
        <v>215</v>
      </c>
      <c r="D120" s="252" t="s">
        <v>146</v>
      </c>
      <c r="E120" s="252" t="s">
        <v>506</v>
      </c>
      <c r="F120" s="252" t="s">
        <v>132</v>
      </c>
      <c r="G120" s="64">
        <f>1326800-118620+75000+8000+53234.4</f>
        <v>1344414.4</v>
      </c>
      <c r="H120" s="64">
        <f>500798.12+8000+114411</f>
        <v>623209.12</v>
      </c>
      <c r="I120" s="64">
        <f>500798.12+114411+8000</f>
        <v>623209.12</v>
      </c>
      <c r="J120" s="64">
        <f>G120-H120</f>
        <v>721205.2799999999</v>
      </c>
      <c r="K120" s="14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</row>
    <row r="121" spans="1:15" s="14" customFormat="1" ht="12.75">
      <c r="A121" s="188" t="s">
        <v>113</v>
      </c>
      <c r="B121" s="252" t="s">
        <v>47</v>
      </c>
      <c r="C121" s="252" t="s">
        <v>215</v>
      </c>
      <c r="D121" s="252" t="s">
        <v>146</v>
      </c>
      <c r="E121" s="252" t="s">
        <v>497</v>
      </c>
      <c r="F121" s="252" t="s">
        <v>133</v>
      </c>
      <c r="G121" s="64">
        <f>1241809-15000-22900-115800+21200-75000-8000+67740+10540</f>
        <v>1104589</v>
      </c>
      <c r="H121" s="64">
        <v>995877.09</v>
      </c>
      <c r="I121" s="64">
        <f>177435.92+68350+72947.9+102554.68+466005.59+10540+22280+5300+38000+19810+3500+443</f>
        <v>987167.0900000001</v>
      </c>
      <c r="J121" s="64">
        <f>G121-H121</f>
        <v>108711.91000000003</v>
      </c>
      <c r="K121" s="140"/>
      <c r="L121" s="140"/>
      <c r="M121" s="140"/>
      <c r="N121" s="140"/>
      <c r="O121" s="140"/>
    </row>
    <row r="122" spans="1:10" s="4" customFormat="1" ht="25.5" hidden="1">
      <c r="A122" s="34" t="s">
        <v>49</v>
      </c>
      <c r="B122" s="247" t="s">
        <v>50</v>
      </c>
      <c r="C122" s="252" t="s">
        <v>215</v>
      </c>
      <c r="D122" s="247" t="s">
        <v>7</v>
      </c>
      <c r="E122" s="247"/>
      <c r="F122" s="247"/>
      <c r="G122" s="64"/>
      <c r="H122" s="272"/>
      <c r="I122" s="272"/>
      <c r="J122" s="308"/>
    </row>
    <row r="123" spans="1:10" s="8" customFormat="1" ht="25.5" hidden="1">
      <c r="A123" s="24" t="s">
        <v>51</v>
      </c>
      <c r="B123" s="309" t="s">
        <v>50</v>
      </c>
      <c r="C123" s="252" t="s">
        <v>215</v>
      </c>
      <c r="D123" s="309" t="s">
        <v>52</v>
      </c>
      <c r="E123" s="309"/>
      <c r="F123" s="309"/>
      <c r="G123" s="64"/>
      <c r="H123" s="272"/>
      <c r="I123" s="272"/>
      <c r="J123" s="310"/>
    </row>
    <row r="124" spans="1:10" s="8" customFormat="1" ht="25.5" hidden="1">
      <c r="A124" s="35" t="s">
        <v>53</v>
      </c>
      <c r="B124" s="253" t="s">
        <v>50</v>
      </c>
      <c r="C124" s="252" t="s">
        <v>215</v>
      </c>
      <c r="D124" s="253" t="s">
        <v>52</v>
      </c>
      <c r="E124" s="253" t="s">
        <v>54</v>
      </c>
      <c r="F124" s="253"/>
      <c r="G124" s="64"/>
      <c r="H124" s="272"/>
      <c r="I124" s="272"/>
      <c r="J124" s="310"/>
    </row>
    <row r="125" spans="1:10" s="11" customFormat="1" ht="25.5" hidden="1">
      <c r="A125" s="36" t="s">
        <v>55</v>
      </c>
      <c r="B125" s="311"/>
      <c r="C125" s="252" t="s">
        <v>215</v>
      </c>
      <c r="D125" s="311"/>
      <c r="E125" s="311"/>
      <c r="F125" s="311"/>
      <c r="G125" s="64"/>
      <c r="H125" s="272"/>
      <c r="I125" s="272"/>
      <c r="J125" s="312"/>
    </row>
    <row r="126" spans="1:10" s="11" customFormat="1" ht="12.75" hidden="1">
      <c r="A126" s="36" t="s">
        <v>56</v>
      </c>
      <c r="B126" s="311"/>
      <c r="C126" s="252" t="s">
        <v>215</v>
      </c>
      <c r="D126" s="311"/>
      <c r="E126" s="311"/>
      <c r="F126" s="311"/>
      <c r="G126" s="64"/>
      <c r="H126" s="272"/>
      <c r="I126" s="272"/>
      <c r="J126" s="312"/>
    </row>
    <row r="127" spans="1:11" s="11" customFormat="1" ht="25.5">
      <c r="A127" s="98" t="s">
        <v>234</v>
      </c>
      <c r="B127" s="279" t="s">
        <v>47</v>
      </c>
      <c r="C127" s="251"/>
      <c r="D127" s="279" t="s">
        <v>37</v>
      </c>
      <c r="E127" s="279"/>
      <c r="F127" s="279"/>
      <c r="G127" s="59">
        <f>G129+G137+G128</f>
        <v>1156668</v>
      </c>
      <c r="H127" s="59">
        <f>H129+H137+H128</f>
        <v>963321.86</v>
      </c>
      <c r="I127" s="233">
        <f>I129+I137+I128</f>
        <v>0</v>
      </c>
      <c r="J127" s="59">
        <f>J129+J137+J128</f>
        <v>193346.14</v>
      </c>
      <c r="K127" s="189"/>
    </row>
    <row r="128" spans="1:11" s="11" customFormat="1" ht="38.25">
      <c r="A128" s="36" t="s">
        <v>235</v>
      </c>
      <c r="B128" s="311" t="s">
        <v>47</v>
      </c>
      <c r="C128" s="252" t="s">
        <v>469</v>
      </c>
      <c r="D128" s="256" t="s">
        <v>657</v>
      </c>
      <c r="E128" s="311" t="s">
        <v>507</v>
      </c>
      <c r="F128" s="311" t="s">
        <v>135</v>
      </c>
      <c r="G128" s="64">
        <f>622429.14+534238.86</f>
        <v>1156668</v>
      </c>
      <c r="H128" s="64">
        <v>963321.86</v>
      </c>
      <c r="I128" s="59"/>
      <c r="J128" s="64">
        <f>G128-H128</f>
        <v>193346.14</v>
      </c>
      <c r="K128" s="189"/>
    </row>
    <row r="129" spans="1:10" s="11" customFormat="1" ht="38.25">
      <c r="A129" s="36" t="s">
        <v>235</v>
      </c>
      <c r="B129" s="311" t="s">
        <v>47</v>
      </c>
      <c r="C129" s="252" t="s">
        <v>469</v>
      </c>
      <c r="D129" s="256" t="s">
        <v>167</v>
      </c>
      <c r="E129" s="311" t="s">
        <v>507</v>
      </c>
      <c r="F129" s="311" t="s">
        <v>135</v>
      </c>
      <c r="G129" s="64">
        <f>1024392+132276-622429.14-534238.86</f>
        <v>0</v>
      </c>
      <c r="H129" s="272"/>
      <c r="I129" s="272">
        <f>H129</f>
        <v>0</v>
      </c>
      <c r="J129" s="64">
        <f>G129-H129</f>
        <v>0</v>
      </c>
    </row>
    <row r="130" spans="1:10" s="56" customFormat="1" ht="12.75" hidden="1">
      <c r="A130" s="132" t="s">
        <v>381</v>
      </c>
      <c r="B130" s="247" t="s">
        <v>382</v>
      </c>
      <c r="C130" s="247" t="s">
        <v>383</v>
      </c>
      <c r="D130" s="247"/>
      <c r="E130" s="247"/>
      <c r="F130" s="247"/>
      <c r="G130" s="52">
        <f>G131+G134</f>
        <v>0</v>
      </c>
      <c r="H130" s="52"/>
      <c r="I130" s="52"/>
      <c r="J130" s="64">
        <f aca="true" t="shared" si="4" ref="J130:J137">G130-H130</f>
        <v>0</v>
      </c>
    </row>
    <row r="131" spans="1:10" s="4" customFormat="1" ht="12.75" hidden="1">
      <c r="A131" s="98" t="s">
        <v>384</v>
      </c>
      <c r="B131" s="279" t="s">
        <v>382</v>
      </c>
      <c r="C131" s="251" t="s">
        <v>385</v>
      </c>
      <c r="D131" s="279" t="s">
        <v>146</v>
      </c>
      <c r="E131" s="279"/>
      <c r="F131" s="279"/>
      <c r="G131" s="313">
        <f>G132</f>
        <v>0</v>
      </c>
      <c r="H131" s="313"/>
      <c r="I131" s="313"/>
      <c r="J131" s="64">
        <f t="shared" si="4"/>
        <v>0</v>
      </c>
    </row>
    <row r="132" spans="1:10" s="11" customFormat="1" ht="12.75" hidden="1">
      <c r="A132" s="36" t="s">
        <v>29</v>
      </c>
      <c r="B132" s="311" t="s">
        <v>382</v>
      </c>
      <c r="C132" s="252" t="s">
        <v>385</v>
      </c>
      <c r="D132" s="256" t="s">
        <v>146</v>
      </c>
      <c r="E132" s="311" t="s">
        <v>36</v>
      </c>
      <c r="F132" s="311"/>
      <c r="G132" s="272">
        <f>G133</f>
        <v>0</v>
      </c>
      <c r="H132" s="272"/>
      <c r="I132" s="272"/>
      <c r="J132" s="64">
        <f t="shared" si="4"/>
        <v>0</v>
      </c>
    </row>
    <row r="133" spans="1:10" s="11" customFormat="1" ht="12.75" hidden="1">
      <c r="A133" s="36" t="s">
        <v>179</v>
      </c>
      <c r="B133" s="311" t="s">
        <v>382</v>
      </c>
      <c r="C133" s="252" t="s">
        <v>385</v>
      </c>
      <c r="D133" s="256" t="s">
        <v>146</v>
      </c>
      <c r="E133" s="311" t="s">
        <v>36</v>
      </c>
      <c r="F133" s="311" t="s">
        <v>134</v>
      </c>
      <c r="G133" s="272">
        <v>0</v>
      </c>
      <c r="H133" s="272"/>
      <c r="I133" s="272"/>
      <c r="J133" s="64">
        <f t="shared" si="4"/>
        <v>0</v>
      </c>
    </row>
    <row r="134" spans="1:10" s="4" customFormat="1" ht="25.5" hidden="1">
      <c r="A134" s="98" t="s">
        <v>386</v>
      </c>
      <c r="B134" s="279" t="s">
        <v>382</v>
      </c>
      <c r="C134" s="251" t="s">
        <v>387</v>
      </c>
      <c r="D134" s="279" t="s">
        <v>146</v>
      </c>
      <c r="E134" s="279"/>
      <c r="F134" s="279"/>
      <c r="G134" s="313">
        <f>G135</f>
        <v>0</v>
      </c>
      <c r="H134" s="313"/>
      <c r="I134" s="313"/>
      <c r="J134" s="64">
        <f t="shared" si="4"/>
        <v>0</v>
      </c>
    </row>
    <row r="135" spans="1:10" s="11" customFormat="1" ht="12.75" hidden="1">
      <c r="A135" s="36" t="s">
        <v>29</v>
      </c>
      <c r="B135" s="311" t="s">
        <v>382</v>
      </c>
      <c r="C135" s="252" t="s">
        <v>387</v>
      </c>
      <c r="D135" s="256" t="s">
        <v>146</v>
      </c>
      <c r="E135" s="311" t="s">
        <v>36</v>
      </c>
      <c r="F135" s="311"/>
      <c r="G135" s="272">
        <f>G136</f>
        <v>0</v>
      </c>
      <c r="H135" s="272"/>
      <c r="I135" s="272"/>
      <c r="J135" s="64">
        <f t="shared" si="4"/>
        <v>0</v>
      </c>
    </row>
    <row r="136" spans="1:10" s="11" customFormat="1" ht="12.75" hidden="1">
      <c r="A136" s="36" t="s">
        <v>179</v>
      </c>
      <c r="B136" s="311" t="s">
        <v>382</v>
      </c>
      <c r="C136" s="252" t="s">
        <v>387</v>
      </c>
      <c r="D136" s="256" t="s">
        <v>146</v>
      </c>
      <c r="E136" s="311" t="s">
        <v>36</v>
      </c>
      <c r="F136" s="311" t="s">
        <v>134</v>
      </c>
      <c r="G136" s="272">
        <v>0</v>
      </c>
      <c r="H136" s="272"/>
      <c r="I136" s="272"/>
      <c r="J136" s="64">
        <f t="shared" si="4"/>
        <v>0</v>
      </c>
    </row>
    <row r="137" spans="1:11" s="11" customFormat="1" ht="12.75" hidden="1">
      <c r="A137" s="36" t="s">
        <v>620</v>
      </c>
      <c r="B137" s="311" t="s">
        <v>47</v>
      </c>
      <c r="C137" s="252" t="s">
        <v>215</v>
      </c>
      <c r="D137" s="256" t="s">
        <v>167</v>
      </c>
      <c r="E137" s="311" t="s">
        <v>621</v>
      </c>
      <c r="F137" s="311" t="s">
        <v>157</v>
      </c>
      <c r="G137" s="272">
        <f>266000-266000+266000-266000</f>
        <v>0</v>
      </c>
      <c r="H137" s="272">
        <v>0</v>
      </c>
      <c r="I137" s="272">
        <v>0</v>
      </c>
      <c r="J137" s="64">
        <f t="shared" si="4"/>
        <v>0</v>
      </c>
      <c r="K137" s="140"/>
    </row>
    <row r="138" spans="1:10" s="11" customFormat="1" ht="12.75">
      <c r="A138" s="182" t="s">
        <v>560</v>
      </c>
      <c r="B138" s="314" t="s">
        <v>561</v>
      </c>
      <c r="C138" s="314"/>
      <c r="D138" s="314"/>
      <c r="E138" s="314"/>
      <c r="F138" s="314"/>
      <c r="G138" s="315">
        <f>G139</f>
        <v>1497086.34</v>
      </c>
      <c r="H138" s="315">
        <f>H139</f>
        <v>0</v>
      </c>
      <c r="I138" s="315">
        <f>I139</f>
        <v>0</v>
      </c>
      <c r="J138" s="315">
        <f>J139</f>
        <v>1497086.34</v>
      </c>
    </row>
    <row r="139" spans="1:10" s="11" customFormat="1" ht="12.75">
      <c r="A139" s="36" t="s">
        <v>570</v>
      </c>
      <c r="B139" s="311" t="s">
        <v>561</v>
      </c>
      <c r="C139" s="252" t="s">
        <v>240</v>
      </c>
      <c r="D139" s="256" t="s">
        <v>539</v>
      </c>
      <c r="E139" s="311" t="s">
        <v>219</v>
      </c>
      <c r="F139" s="311"/>
      <c r="G139" s="272">
        <f>1704486.34-207400-72742-10000-70686+153428</f>
        <v>1497086.34</v>
      </c>
      <c r="H139" s="272">
        <v>0</v>
      </c>
      <c r="I139" s="272">
        <v>0</v>
      </c>
      <c r="J139" s="316">
        <f>G139-H139</f>
        <v>1497086.34</v>
      </c>
    </row>
    <row r="140" spans="1:11" s="4" customFormat="1" ht="12.75">
      <c r="A140" s="34" t="s">
        <v>57</v>
      </c>
      <c r="B140" s="247" t="s">
        <v>145</v>
      </c>
      <c r="C140" s="247"/>
      <c r="D140" s="247"/>
      <c r="E140" s="247"/>
      <c r="F140" s="247"/>
      <c r="G140" s="52">
        <f>G142+G181</f>
        <v>29522736.41</v>
      </c>
      <c r="H140" s="52">
        <f>H142+H181</f>
        <v>27105990.020000003</v>
      </c>
      <c r="I140" s="52">
        <f>I142+I181</f>
        <v>28052866.360000003</v>
      </c>
      <c r="J140" s="52">
        <f>J142+J181</f>
        <v>2416746.3899999987</v>
      </c>
      <c r="K140" s="86">
        <f>G140-H140</f>
        <v>2416746.389999997</v>
      </c>
    </row>
    <row r="141" spans="1:10" s="5" customFormat="1" ht="25.5" hidden="1">
      <c r="A141" s="20" t="s">
        <v>58</v>
      </c>
      <c r="B141" s="318" t="s">
        <v>59</v>
      </c>
      <c r="C141" s="318" t="s">
        <v>60</v>
      </c>
      <c r="D141" s="318" t="s">
        <v>61</v>
      </c>
      <c r="E141" s="318" t="s">
        <v>7</v>
      </c>
      <c r="F141" s="318"/>
      <c r="G141" s="272"/>
      <c r="H141" s="272"/>
      <c r="I141" s="272"/>
      <c r="J141" s="317"/>
    </row>
    <row r="142" spans="1:11" s="14" customFormat="1" ht="12.75">
      <c r="A142" s="58" t="s">
        <v>172</v>
      </c>
      <c r="B142" s="251" t="s">
        <v>145</v>
      </c>
      <c r="C142" s="251"/>
      <c r="D142" s="251"/>
      <c r="E142" s="251"/>
      <c r="F142" s="251"/>
      <c r="G142" s="319">
        <f>G156+G148+G143</f>
        <v>10199910.89</v>
      </c>
      <c r="H142" s="319">
        <f>H156+H148+H143</f>
        <v>9568075.799999999</v>
      </c>
      <c r="I142" s="319">
        <f>I156+I148+I143</f>
        <v>9403731.79</v>
      </c>
      <c r="J142" s="319">
        <f>J156+J148+J143</f>
        <v>631835.09</v>
      </c>
      <c r="K142" s="154"/>
    </row>
    <row r="143" spans="1:11" s="14" customFormat="1" ht="38.25">
      <c r="A143" s="100" t="s">
        <v>479</v>
      </c>
      <c r="B143" s="251"/>
      <c r="C143" s="251"/>
      <c r="D143" s="251"/>
      <c r="E143" s="251"/>
      <c r="F143" s="251"/>
      <c r="G143" s="319">
        <f>G144+G145+G146+G147</f>
        <v>258395.4</v>
      </c>
      <c r="H143" s="319">
        <f>H144+H145+H146+H147</f>
        <v>256366.27999999997</v>
      </c>
      <c r="I143" s="319">
        <f>I144+I145+I146+I147</f>
        <v>92021.68000000001</v>
      </c>
      <c r="J143" s="319">
        <f>J144+J145+J146+J147</f>
        <v>2029.1200000000026</v>
      </c>
      <c r="K143" s="154"/>
    </row>
    <row r="144" spans="1:11" s="14" customFormat="1" ht="25.5">
      <c r="A144" s="105" t="s">
        <v>642</v>
      </c>
      <c r="B144" s="252" t="s">
        <v>145</v>
      </c>
      <c r="C144" s="320" t="s">
        <v>641</v>
      </c>
      <c r="D144" s="320" t="s">
        <v>146</v>
      </c>
      <c r="E144" s="320" t="s">
        <v>30</v>
      </c>
      <c r="F144" s="320" t="s">
        <v>128</v>
      </c>
      <c r="G144" s="307">
        <v>199919.36</v>
      </c>
      <c r="H144" s="307">
        <v>199919.36</v>
      </c>
      <c r="I144" s="307">
        <f>59637.44</f>
        <v>59637.44</v>
      </c>
      <c r="J144" s="272">
        <f>G144-H144</f>
        <v>0</v>
      </c>
      <c r="K144" s="154"/>
    </row>
    <row r="145" spans="1:11" s="14" customFormat="1" ht="25.5">
      <c r="A145" s="105" t="s">
        <v>643</v>
      </c>
      <c r="B145" s="252" t="s">
        <v>145</v>
      </c>
      <c r="C145" s="320" t="s">
        <v>644</v>
      </c>
      <c r="D145" s="320" t="s">
        <v>146</v>
      </c>
      <c r="E145" s="320" t="s">
        <v>30</v>
      </c>
      <c r="F145" s="320" t="s">
        <v>128</v>
      </c>
      <c r="G145" s="307">
        <v>36616.04</v>
      </c>
      <c r="H145" s="307">
        <v>34586.92</v>
      </c>
      <c r="I145" s="307">
        <v>10524.24</v>
      </c>
      <c r="J145" s="272">
        <f>G145-H145</f>
        <v>2029.1200000000026</v>
      </c>
      <c r="K145" s="154"/>
    </row>
    <row r="146" spans="1:11" s="14" customFormat="1" ht="25.5">
      <c r="A146" s="105" t="s">
        <v>642</v>
      </c>
      <c r="B146" s="252" t="s">
        <v>145</v>
      </c>
      <c r="C146" s="320" t="s">
        <v>641</v>
      </c>
      <c r="D146" s="320" t="s">
        <v>146</v>
      </c>
      <c r="E146" s="320" t="s">
        <v>497</v>
      </c>
      <c r="F146" s="320" t="s">
        <v>133</v>
      </c>
      <c r="G146" s="307">
        <v>18476.04</v>
      </c>
      <c r="H146" s="307">
        <v>18476.04</v>
      </c>
      <c r="I146" s="307">
        <v>18476.04</v>
      </c>
      <c r="J146" s="272">
        <f>G146-H146</f>
        <v>0</v>
      </c>
      <c r="K146" s="154"/>
    </row>
    <row r="147" spans="1:11" s="14" customFormat="1" ht="25.5">
      <c r="A147" s="105" t="s">
        <v>643</v>
      </c>
      <c r="B147" s="252" t="s">
        <v>145</v>
      </c>
      <c r="C147" s="320" t="s">
        <v>644</v>
      </c>
      <c r="D147" s="320" t="s">
        <v>146</v>
      </c>
      <c r="E147" s="320" t="s">
        <v>497</v>
      </c>
      <c r="F147" s="320" t="s">
        <v>133</v>
      </c>
      <c r="G147" s="307">
        <v>3383.96</v>
      </c>
      <c r="H147" s="307">
        <v>3383.96</v>
      </c>
      <c r="I147" s="307">
        <v>3383.96</v>
      </c>
      <c r="J147" s="272">
        <f>G147-H147</f>
        <v>0</v>
      </c>
      <c r="K147" s="154"/>
    </row>
    <row r="148" spans="1:11" s="14" customFormat="1" ht="51">
      <c r="A148" s="100" t="s">
        <v>476</v>
      </c>
      <c r="B148" s="321" t="s">
        <v>145</v>
      </c>
      <c r="C148" s="321"/>
      <c r="D148" s="321"/>
      <c r="E148" s="321"/>
      <c r="F148" s="321"/>
      <c r="G148" s="322">
        <f>G151+G152+G155+G149+G150+G154+G153</f>
        <v>500000</v>
      </c>
      <c r="H148" s="322">
        <f>H151+H152+H155+H149+H150+H154+H153</f>
        <v>498291.74</v>
      </c>
      <c r="I148" s="322">
        <f>I151+I152+I155+I149+I150+I154+I153</f>
        <v>498291.74</v>
      </c>
      <c r="J148" s="322">
        <f>J151+J152+J155+J149+J150+J154+J153</f>
        <v>1708.2600000000093</v>
      </c>
      <c r="K148" s="154"/>
    </row>
    <row r="149" spans="1:10" s="14" customFormat="1" ht="12.75">
      <c r="A149" s="55"/>
      <c r="B149" s="252" t="s">
        <v>145</v>
      </c>
      <c r="C149" s="252" t="s">
        <v>489</v>
      </c>
      <c r="D149" s="252" t="s">
        <v>44</v>
      </c>
      <c r="E149" s="252" t="s">
        <v>453</v>
      </c>
      <c r="F149" s="252" t="s">
        <v>134</v>
      </c>
      <c r="G149" s="64"/>
      <c r="H149" s="64"/>
      <c r="I149" s="64"/>
      <c r="J149" s="272">
        <f aca="true" t="shared" si="5" ref="J149:J155">G149-H149</f>
        <v>0</v>
      </c>
    </row>
    <row r="150" spans="1:10" s="14" customFormat="1" ht="12.75">
      <c r="A150" s="21" t="s">
        <v>38</v>
      </c>
      <c r="B150" s="252" t="s">
        <v>145</v>
      </c>
      <c r="C150" s="252" t="s">
        <v>489</v>
      </c>
      <c r="D150" s="252" t="s">
        <v>62</v>
      </c>
      <c r="E150" s="252" t="s">
        <v>39</v>
      </c>
      <c r="F150" s="252" t="s">
        <v>131</v>
      </c>
      <c r="G150" s="64"/>
      <c r="H150" s="64"/>
      <c r="I150" s="64"/>
      <c r="J150" s="272">
        <f t="shared" si="5"/>
        <v>0</v>
      </c>
    </row>
    <row r="151" spans="1:10" s="14" customFormat="1" ht="12.75">
      <c r="A151" s="21" t="s">
        <v>477</v>
      </c>
      <c r="B151" s="252" t="s">
        <v>145</v>
      </c>
      <c r="C151" s="252" t="s">
        <v>489</v>
      </c>
      <c r="D151" s="252" t="s">
        <v>146</v>
      </c>
      <c r="E151" s="252" t="s">
        <v>21</v>
      </c>
      <c r="F151" s="252" t="s">
        <v>117</v>
      </c>
      <c r="G151" s="64">
        <f>320000-34599-285401</f>
        <v>0</v>
      </c>
      <c r="H151" s="307"/>
      <c r="I151" s="307"/>
      <c r="J151" s="272">
        <f t="shared" si="5"/>
        <v>0</v>
      </c>
    </row>
    <row r="152" spans="1:14" s="14" customFormat="1" ht="12.75">
      <c r="A152" s="21" t="s">
        <v>38</v>
      </c>
      <c r="B152" s="252" t="s">
        <v>145</v>
      </c>
      <c r="C152" s="252" t="s">
        <v>489</v>
      </c>
      <c r="D152" s="252" t="s">
        <v>146</v>
      </c>
      <c r="E152" s="252" t="s">
        <v>39</v>
      </c>
      <c r="F152" s="252" t="s">
        <v>131</v>
      </c>
      <c r="G152" s="64">
        <f>250000-250000</f>
        <v>0</v>
      </c>
      <c r="H152" s="307"/>
      <c r="I152" s="307"/>
      <c r="J152" s="272">
        <f t="shared" si="5"/>
        <v>0</v>
      </c>
      <c r="K152" s="140"/>
      <c r="L152" s="140"/>
      <c r="M152" s="140"/>
      <c r="N152" s="140"/>
    </row>
    <row r="153" spans="1:14" s="14" customFormat="1" ht="12.75">
      <c r="A153" s="21"/>
      <c r="B153" s="252" t="s">
        <v>145</v>
      </c>
      <c r="C153" s="252" t="s">
        <v>489</v>
      </c>
      <c r="D153" s="252" t="s">
        <v>146</v>
      </c>
      <c r="E153" s="252" t="s">
        <v>30</v>
      </c>
      <c r="F153" s="252" t="s">
        <v>128</v>
      </c>
      <c r="G153" s="64">
        <f>20000-20000</f>
        <v>0</v>
      </c>
      <c r="H153" s="307"/>
      <c r="I153" s="307"/>
      <c r="J153" s="272">
        <f t="shared" si="5"/>
        <v>0</v>
      </c>
      <c r="K153" s="140"/>
      <c r="M153" s="140"/>
      <c r="N153" s="140"/>
    </row>
    <row r="154" spans="1:14" s="14" customFormat="1" ht="12.75">
      <c r="A154" s="21" t="s">
        <v>653</v>
      </c>
      <c r="B154" s="252" t="s">
        <v>145</v>
      </c>
      <c r="C154" s="252" t="s">
        <v>489</v>
      </c>
      <c r="D154" s="252" t="s">
        <v>146</v>
      </c>
      <c r="E154" s="252" t="s">
        <v>39</v>
      </c>
      <c r="F154" s="252" t="s">
        <v>131</v>
      </c>
      <c r="G154" s="64">
        <f>34599-34599</f>
        <v>0</v>
      </c>
      <c r="H154" s="307"/>
      <c r="I154" s="307"/>
      <c r="J154" s="272">
        <f t="shared" si="5"/>
        <v>0</v>
      </c>
      <c r="K154" s="140"/>
      <c r="L154" s="140"/>
      <c r="M154" s="140"/>
      <c r="N154" s="140"/>
    </row>
    <row r="155" spans="1:10" s="14" customFormat="1" ht="12.75">
      <c r="A155" s="21" t="s">
        <v>490</v>
      </c>
      <c r="B155" s="252" t="s">
        <v>145</v>
      </c>
      <c r="C155" s="252" t="s">
        <v>489</v>
      </c>
      <c r="D155" s="252" t="s">
        <v>146</v>
      </c>
      <c r="E155" s="252" t="s">
        <v>511</v>
      </c>
      <c r="F155" s="252" t="s">
        <v>491</v>
      </c>
      <c r="G155" s="64">
        <f>180000+300000+20000</f>
        <v>500000</v>
      </c>
      <c r="H155" s="307">
        <f>178334.84+319956.9</f>
        <v>498291.74</v>
      </c>
      <c r="I155" s="307">
        <f>178334.84+319956.9</f>
        <v>498291.74</v>
      </c>
      <c r="J155" s="272">
        <f t="shared" si="5"/>
        <v>1708.2600000000093</v>
      </c>
    </row>
    <row r="156" spans="1:11" s="9" customFormat="1" ht="25.5">
      <c r="A156" s="100" t="s">
        <v>475</v>
      </c>
      <c r="B156" s="258" t="s">
        <v>145</v>
      </c>
      <c r="C156" s="258" t="s">
        <v>405</v>
      </c>
      <c r="D156" s="258"/>
      <c r="E156" s="258"/>
      <c r="F156" s="258"/>
      <c r="G156" s="106">
        <f>G174+G157</f>
        <v>9441515.49</v>
      </c>
      <c r="H156" s="106">
        <f>H174+H157</f>
        <v>8813417.78</v>
      </c>
      <c r="I156" s="106">
        <f>I174+I157</f>
        <v>8813418.37</v>
      </c>
      <c r="J156" s="106">
        <f>J174+J157</f>
        <v>628097.71</v>
      </c>
      <c r="K156" s="191"/>
    </row>
    <row r="157" spans="1:10" s="77" customFormat="1" ht="12.75">
      <c r="A157" s="103" t="s">
        <v>354</v>
      </c>
      <c r="B157" s="323" t="s">
        <v>145</v>
      </c>
      <c r="C157" s="323" t="s">
        <v>406</v>
      </c>
      <c r="D157" s="323"/>
      <c r="E157" s="323"/>
      <c r="F157" s="323"/>
      <c r="G157" s="319">
        <f>G158+G180+G178+G179</f>
        <v>9359936.51</v>
      </c>
      <c r="H157" s="319">
        <f>H158+H180+H178+H179</f>
        <v>8731918.25</v>
      </c>
      <c r="I157" s="319">
        <f>I158+I180+I178+I179</f>
        <v>8731918.84</v>
      </c>
      <c r="J157" s="319">
        <f>J158+J180+J178+J179</f>
        <v>628018.2599999999</v>
      </c>
    </row>
    <row r="158" spans="1:10" s="77" customFormat="1" ht="25.5">
      <c r="A158" s="22" t="s">
        <v>237</v>
      </c>
      <c r="B158" s="323" t="s">
        <v>145</v>
      </c>
      <c r="C158" s="323" t="s">
        <v>407</v>
      </c>
      <c r="D158" s="323" t="s">
        <v>219</v>
      </c>
      <c r="E158" s="323"/>
      <c r="F158" s="323"/>
      <c r="G158" s="319">
        <f>G159+G160+G164+G167+G172+G173+G168</f>
        <v>8518537.51</v>
      </c>
      <c r="H158" s="319">
        <f>H159+H160+H164+H167+H172+H173+H168</f>
        <v>8515125.85</v>
      </c>
      <c r="I158" s="319">
        <f>I159+I160+I164+I167+I172+I173+I168</f>
        <v>8515125.84</v>
      </c>
      <c r="J158" s="319">
        <f>J159+J160+J164+J167+J172+J173+J168</f>
        <v>3411.659999999916</v>
      </c>
    </row>
    <row r="159" spans="1:10" s="77" customFormat="1" ht="12.75">
      <c r="A159" s="23" t="s">
        <v>26</v>
      </c>
      <c r="B159" s="320" t="s">
        <v>145</v>
      </c>
      <c r="C159" s="320" t="s">
        <v>407</v>
      </c>
      <c r="D159" s="320" t="s">
        <v>186</v>
      </c>
      <c r="E159" s="320" t="s">
        <v>27</v>
      </c>
      <c r="F159" s="320" t="s">
        <v>122</v>
      </c>
      <c r="G159" s="307">
        <v>0</v>
      </c>
      <c r="H159" s="307"/>
      <c r="I159" s="307"/>
      <c r="J159" s="324"/>
    </row>
    <row r="160" spans="1:10" s="77" customFormat="1" ht="12.75">
      <c r="A160" s="161" t="s">
        <v>26</v>
      </c>
      <c r="B160" s="325" t="s">
        <v>145</v>
      </c>
      <c r="C160" s="325" t="s">
        <v>407</v>
      </c>
      <c r="D160" s="325" t="s">
        <v>146</v>
      </c>
      <c r="E160" s="325" t="s">
        <v>27</v>
      </c>
      <c r="F160" s="325"/>
      <c r="G160" s="326">
        <f>G161+G162+G163</f>
        <v>3978998.7299999995</v>
      </c>
      <c r="H160" s="326">
        <f>H161+H162+H163</f>
        <v>3978997.8</v>
      </c>
      <c r="I160" s="326">
        <f>I161+I162+I163</f>
        <v>3978997.79</v>
      </c>
      <c r="J160" s="326">
        <f>J161+J162</f>
        <v>0.9299999997019768</v>
      </c>
    </row>
    <row r="161" spans="1:11" s="77" customFormat="1" ht="12.75">
      <c r="A161" s="23" t="s">
        <v>357</v>
      </c>
      <c r="B161" s="320" t="s">
        <v>145</v>
      </c>
      <c r="C161" s="320" t="s">
        <v>407</v>
      </c>
      <c r="D161" s="320" t="s">
        <v>146</v>
      </c>
      <c r="E161" s="320" t="s">
        <v>27</v>
      </c>
      <c r="F161" s="320" t="s">
        <v>122</v>
      </c>
      <c r="G161" s="64">
        <f>1885040.72+500000+650000+1800000-1800000-181655.39-3235</f>
        <v>2850150.3299999996</v>
      </c>
      <c r="H161" s="307">
        <f>1885040.72-5807.63+531652.24+439264.07</f>
        <v>2850149.4</v>
      </c>
      <c r="I161" s="307">
        <f>1885040.71-5807.63+531652.24+439264.07</f>
        <v>2850149.39</v>
      </c>
      <c r="J161" s="327">
        <f>G161-H161</f>
        <v>0.9299999997019768</v>
      </c>
      <c r="K161" s="224"/>
    </row>
    <row r="162" spans="1:12" s="77" customFormat="1" ht="12.75">
      <c r="A162" s="23"/>
      <c r="B162" s="320" t="s">
        <v>145</v>
      </c>
      <c r="C162" s="320" t="s">
        <v>407</v>
      </c>
      <c r="D162" s="320" t="s">
        <v>146</v>
      </c>
      <c r="E162" s="320" t="s">
        <v>27</v>
      </c>
      <c r="F162" s="320" t="s">
        <v>124</v>
      </c>
      <c r="G162" s="64">
        <f>876600+650000-650000</f>
        <v>876600</v>
      </c>
      <c r="H162" s="307">
        <f>876600</f>
        <v>876600</v>
      </c>
      <c r="I162" s="307">
        <f>876600</f>
        <v>876600</v>
      </c>
      <c r="J162" s="319">
        <f>G162-H162</f>
        <v>0</v>
      </c>
      <c r="K162" s="166"/>
      <c r="L162" s="166"/>
    </row>
    <row r="163" spans="1:12" s="77" customFormat="1" ht="12.75">
      <c r="A163" s="23" t="s">
        <v>652</v>
      </c>
      <c r="B163" s="320" t="s">
        <v>145</v>
      </c>
      <c r="C163" s="320" t="s">
        <v>407</v>
      </c>
      <c r="D163" s="320" t="s">
        <v>146</v>
      </c>
      <c r="E163" s="320" t="s">
        <v>27</v>
      </c>
      <c r="F163" s="320" t="s">
        <v>651</v>
      </c>
      <c r="G163" s="64">
        <v>252248.4</v>
      </c>
      <c r="H163" s="307">
        <v>252248.4</v>
      </c>
      <c r="I163" s="307">
        <v>252248.4</v>
      </c>
      <c r="J163" s="319"/>
      <c r="K163" s="166"/>
      <c r="L163" s="166"/>
    </row>
    <row r="164" spans="1:10" s="77" customFormat="1" ht="12.75">
      <c r="A164" s="161" t="s">
        <v>29</v>
      </c>
      <c r="B164" s="325" t="s">
        <v>145</v>
      </c>
      <c r="C164" s="325" t="s">
        <v>407</v>
      </c>
      <c r="D164" s="325" t="s">
        <v>146</v>
      </c>
      <c r="E164" s="325" t="s">
        <v>30</v>
      </c>
      <c r="F164" s="328"/>
      <c r="G164" s="326">
        <f>G165+G166+G170+G169+G171</f>
        <v>1993082.78</v>
      </c>
      <c r="H164" s="326">
        <f>H165+H166+H170+H169+H171</f>
        <v>1993081.79</v>
      </c>
      <c r="I164" s="326">
        <f>I165+I166+I170+I169+I171</f>
        <v>1993081.79</v>
      </c>
      <c r="J164" s="326">
        <f>J165+J166+J170+J169+J171</f>
        <v>0.9899999999906868</v>
      </c>
    </row>
    <row r="165" spans="1:15" s="77" customFormat="1" ht="12.75">
      <c r="A165" s="23" t="s">
        <v>374</v>
      </c>
      <c r="B165" s="320" t="s">
        <v>145</v>
      </c>
      <c r="C165" s="320" t="s">
        <v>407</v>
      </c>
      <c r="D165" s="320" t="s">
        <v>146</v>
      </c>
      <c r="E165" s="320" t="s">
        <v>30</v>
      </c>
      <c r="F165" s="320" t="s">
        <v>375</v>
      </c>
      <c r="G165" s="307">
        <f>93250+850000-405214.01-204576</f>
        <v>333459.99</v>
      </c>
      <c r="H165" s="307">
        <f>93250+240209</f>
        <v>333459</v>
      </c>
      <c r="I165" s="307">
        <f>93250+240209</f>
        <v>333459</v>
      </c>
      <c r="J165" s="307">
        <f aca="true" t="shared" si="6" ref="J165:J173">G165-H165</f>
        <v>0.9899999999906868</v>
      </c>
      <c r="K165" s="8"/>
      <c r="L165" s="8"/>
      <c r="M165" s="8"/>
      <c r="N165" s="8"/>
      <c r="O165" s="8"/>
    </row>
    <row r="166" spans="1:12" s="77" customFormat="1" ht="12.75">
      <c r="A166" s="23" t="s">
        <v>355</v>
      </c>
      <c r="B166" s="320" t="s">
        <v>145</v>
      </c>
      <c r="C166" s="320" t="s">
        <v>407</v>
      </c>
      <c r="D166" s="320" t="s">
        <v>146</v>
      </c>
      <c r="E166" s="320" t="s">
        <v>30</v>
      </c>
      <c r="F166" s="320" t="s">
        <v>128</v>
      </c>
      <c r="G166" s="64">
        <f>325386.88-190500.45+304000+45000-7900-148104.69+63388-63388</f>
        <v>327881.74</v>
      </c>
      <c r="H166" s="307">
        <f>101635.59+226246.15</f>
        <v>327881.74</v>
      </c>
      <c r="I166" s="307">
        <f>101635.59+226246.15</f>
        <v>327881.74</v>
      </c>
      <c r="J166" s="307">
        <f t="shared" si="6"/>
        <v>0</v>
      </c>
      <c r="K166" s="167"/>
      <c r="L166" s="167"/>
    </row>
    <row r="167" spans="1:11" s="77" customFormat="1" ht="12.75">
      <c r="A167" s="23" t="s">
        <v>138</v>
      </c>
      <c r="B167" s="320" t="s">
        <v>145</v>
      </c>
      <c r="C167" s="320" t="s">
        <v>407</v>
      </c>
      <c r="D167" s="320" t="s">
        <v>146</v>
      </c>
      <c r="E167" s="320" t="s">
        <v>39</v>
      </c>
      <c r="F167" s="320" t="s">
        <v>131</v>
      </c>
      <c r="G167" s="64">
        <v>0</v>
      </c>
      <c r="H167" s="307"/>
      <c r="I167" s="307"/>
      <c r="J167" s="307">
        <f t="shared" si="6"/>
        <v>0</v>
      </c>
      <c r="K167" s="151"/>
    </row>
    <row r="168" spans="1:11" s="8" customFormat="1" ht="12.75">
      <c r="A168" s="69" t="s">
        <v>649</v>
      </c>
      <c r="B168" s="252" t="s">
        <v>145</v>
      </c>
      <c r="C168" s="252" t="s">
        <v>407</v>
      </c>
      <c r="D168" s="252" t="s">
        <v>146</v>
      </c>
      <c r="E168" s="252" t="s">
        <v>529</v>
      </c>
      <c r="F168" s="252"/>
      <c r="G168" s="64">
        <f>1800000+173660+266000+156796</f>
        <v>2396456</v>
      </c>
      <c r="H168" s="64">
        <f>1198970.46+597484.8+596591</f>
        <v>2393046.26</v>
      </c>
      <c r="I168" s="64">
        <f>599996+598974.46+597484.8+596591</f>
        <v>2393046.26</v>
      </c>
      <c r="J168" s="64">
        <f>G168-H168</f>
        <v>3409.7400000002235</v>
      </c>
      <c r="K168" s="150"/>
    </row>
    <row r="169" spans="1:10" s="77" customFormat="1" ht="12.75">
      <c r="A169" s="23" t="s">
        <v>573</v>
      </c>
      <c r="B169" s="320" t="s">
        <v>145</v>
      </c>
      <c r="C169" s="320" t="s">
        <v>407</v>
      </c>
      <c r="D169" s="320" t="s">
        <v>528</v>
      </c>
      <c r="E169" s="320" t="s">
        <v>529</v>
      </c>
      <c r="F169" s="320" t="s">
        <v>375</v>
      </c>
      <c r="G169" s="307">
        <v>1331741.05</v>
      </c>
      <c r="H169" s="307">
        <f>1331741.05</f>
        <v>1331741.05</v>
      </c>
      <c r="I169" s="307">
        <f>1331741.05</f>
        <v>1331741.05</v>
      </c>
      <c r="J169" s="307">
        <f>G169-H169</f>
        <v>0</v>
      </c>
    </row>
    <row r="170" spans="1:15" s="77" customFormat="1" ht="12.75">
      <c r="A170" s="23" t="s">
        <v>530</v>
      </c>
      <c r="B170" s="320" t="s">
        <v>145</v>
      </c>
      <c r="C170" s="320" t="s">
        <v>407</v>
      </c>
      <c r="D170" s="320" t="s">
        <v>528</v>
      </c>
      <c r="E170" s="320" t="s">
        <v>529</v>
      </c>
      <c r="F170" s="320" t="s">
        <v>375</v>
      </c>
      <c r="G170" s="64">
        <v>0</v>
      </c>
      <c r="H170" s="307"/>
      <c r="I170" s="307"/>
      <c r="J170" s="307">
        <f t="shared" si="6"/>
        <v>0</v>
      </c>
      <c r="K170" s="151"/>
      <c r="L170" s="151"/>
      <c r="M170" s="151"/>
      <c r="N170" s="151"/>
      <c r="O170" s="151"/>
    </row>
    <row r="171" spans="1:15" s="77" customFormat="1" ht="12.75">
      <c r="A171" s="23"/>
      <c r="B171" s="320" t="s">
        <v>145</v>
      </c>
      <c r="C171" s="320" t="s">
        <v>407</v>
      </c>
      <c r="D171" s="320" t="s">
        <v>528</v>
      </c>
      <c r="E171" s="320" t="s">
        <v>529</v>
      </c>
      <c r="F171" s="320" t="s">
        <v>128</v>
      </c>
      <c r="G171" s="64">
        <v>0</v>
      </c>
      <c r="H171" s="307"/>
      <c r="I171" s="307"/>
      <c r="J171" s="307">
        <f t="shared" si="6"/>
        <v>0</v>
      </c>
      <c r="K171" s="151"/>
      <c r="L171" s="151"/>
      <c r="M171" s="151"/>
      <c r="N171" s="151"/>
      <c r="O171" s="151"/>
    </row>
    <row r="172" spans="1:15" s="77" customFormat="1" ht="12.75">
      <c r="A172" s="23" t="s">
        <v>138</v>
      </c>
      <c r="B172" s="320" t="s">
        <v>145</v>
      </c>
      <c r="C172" s="320" t="s">
        <v>407</v>
      </c>
      <c r="D172" s="320" t="s">
        <v>146</v>
      </c>
      <c r="E172" s="320" t="s">
        <v>39</v>
      </c>
      <c r="F172" s="320" t="s">
        <v>131</v>
      </c>
      <c r="G172" s="64">
        <f>150000-150000</f>
        <v>0</v>
      </c>
      <c r="H172" s="307"/>
      <c r="I172" s="307"/>
      <c r="J172" s="307">
        <f t="shared" si="6"/>
        <v>0</v>
      </c>
      <c r="K172" s="151"/>
      <c r="L172" s="151"/>
      <c r="M172" s="151"/>
      <c r="N172" s="151"/>
      <c r="O172" s="151"/>
    </row>
    <row r="173" spans="1:15" s="77" customFormat="1" ht="25.5">
      <c r="A173" s="23" t="s">
        <v>647</v>
      </c>
      <c r="B173" s="320" t="s">
        <v>145</v>
      </c>
      <c r="C173" s="320" t="s">
        <v>407</v>
      </c>
      <c r="D173" s="320" t="s">
        <v>146</v>
      </c>
      <c r="E173" s="320" t="s">
        <v>648</v>
      </c>
      <c r="F173" s="320"/>
      <c r="G173" s="64">
        <v>150000</v>
      </c>
      <c r="H173" s="307">
        <v>150000</v>
      </c>
      <c r="I173" s="307">
        <v>150000</v>
      </c>
      <c r="J173" s="307">
        <f t="shared" si="6"/>
        <v>0</v>
      </c>
      <c r="K173" s="151"/>
      <c r="L173" s="151"/>
      <c r="M173" s="151"/>
      <c r="N173" s="151"/>
      <c r="O173" s="151"/>
    </row>
    <row r="174" spans="1:10" s="9" customFormat="1" ht="25.5">
      <c r="A174" s="22" t="s">
        <v>236</v>
      </c>
      <c r="B174" s="279" t="s">
        <v>145</v>
      </c>
      <c r="C174" s="279" t="s">
        <v>408</v>
      </c>
      <c r="D174" s="279"/>
      <c r="E174" s="279"/>
      <c r="F174" s="279"/>
      <c r="G174" s="313">
        <f>G175</f>
        <v>81578.98000000001</v>
      </c>
      <c r="H174" s="313">
        <f>H175</f>
        <v>81499.53</v>
      </c>
      <c r="I174" s="313">
        <f aca="true" t="shared" si="7" ref="H174:J176">I175</f>
        <v>81499.53</v>
      </c>
      <c r="J174" s="313">
        <f t="shared" si="7"/>
        <v>79.45000000001164</v>
      </c>
    </row>
    <row r="175" spans="1:10" s="9" customFormat="1" ht="25.5">
      <c r="A175" s="22" t="s">
        <v>237</v>
      </c>
      <c r="B175" s="279" t="s">
        <v>145</v>
      </c>
      <c r="C175" s="256" t="s">
        <v>408</v>
      </c>
      <c r="D175" s="279" t="s">
        <v>219</v>
      </c>
      <c r="E175" s="279"/>
      <c r="F175" s="279"/>
      <c r="G175" s="313">
        <f>G176</f>
        <v>81578.98000000001</v>
      </c>
      <c r="H175" s="313">
        <f t="shared" si="7"/>
        <v>81499.53</v>
      </c>
      <c r="I175" s="313">
        <f>I176</f>
        <v>81499.53</v>
      </c>
      <c r="J175" s="313">
        <f t="shared" si="7"/>
        <v>79.45000000001164</v>
      </c>
    </row>
    <row r="176" spans="1:10" s="9" customFormat="1" ht="12.75">
      <c r="A176" s="161" t="s">
        <v>29</v>
      </c>
      <c r="B176" s="297" t="s">
        <v>145</v>
      </c>
      <c r="C176" s="297" t="s">
        <v>408</v>
      </c>
      <c r="D176" s="297" t="s">
        <v>146</v>
      </c>
      <c r="E176" s="297" t="s">
        <v>30</v>
      </c>
      <c r="F176" s="329"/>
      <c r="G176" s="301">
        <f>G177</f>
        <v>81578.98000000001</v>
      </c>
      <c r="H176" s="301">
        <f t="shared" si="7"/>
        <v>81499.53</v>
      </c>
      <c r="I176" s="301">
        <f t="shared" si="7"/>
        <v>81499.53</v>
      </c>
      <c r="J176" s="301">
        <f t="shared" si="7"/>
        <v>79.45000000001164</v>
      </c>
    </row>
    <row r="177" spans="1:11" s="9" customFormat="1" ht="12.75">
      <c r="A177" s="23" t="s">
        <v>238</v>
      </c>
      <c r="B177" s="256" t="s">
        <v>145</v>
      </c>
      <c r="C177" s="256" t="s">
        <v>408</v>
      </c>
      <c r="D177" s="256" t="s">
        <v>146</v>
      </c>
      <c r="E177" s="256" t="s">
        <v>30</v>
      </c>
      <c r="F177" s="256" t="s">
        <v>128</v>
      </c>
      <c r="G177" s="64">
        <f>75420.8-25420.8+50000+86000-50000-2221.02-52200</f>
        <v>81578.98000000001</v>
      </c>
      <c r="H177" s="272">
        <f>60499.53+21000</f>
        <v>81499.53</v>
      </c>
      <c r="I177" s="272">
        <f>60499.53+21000</f>
        <v>81499.53</v>
      </c>
      <c r="J177" s="276">
        <f>G177-H177</f>
        <v>79.45000000001164</v>
      </c>
      <c r="K177" s="149"/>
    </row>
    <row r="178" spans="1:11" s="9" customFormat="1" ht="12.75">
      <c r="A178" s="23"/>
      <c r="B178" s="256" t="s">
        <v>145</v>
      </c>
      <c r="C178" s="256" t="s">
        <v>658</v>
      </c>
      <c r="D178" s="256" t="s">
        <v>146</v>
      </c>
      <c r="E178" s="256" t="s">
        <v>27</v>
      </c>
      <c r="F178" s="256" t="s">
        <v>122</v>
      </c>
      <c r="G178" s="64">
        <f>153000+3235</f>
        <v>156235</v>
      </c>
      <c r="H178" s="272">
        <v>153404.4</v>
      </c>
      <c r="I178" s="272">
        <v>153405</v>
      </c>
      <c r="J178" s="272">
        <f>G178-H178</f>
        <v>2830.600000000006</v>
      </c>
      <c r="K178" s="149"/>
    </row>
    <row r="179" spans="1:11" s="9" customFormat="1" ht="12.75">
      <c r="A179" s="23"/>
      <c r="B179" s="256" t="s">
        <v>145</v>
      </c>
      <c r="C179" s="256" t="s">
        <v>658</v>
      </c>
      <c r="D179" s="256" t="s">
        <v>146</v>
      </c>
      <c r="E179" s="256" t="s">
        <v>30</v>
      </c>
      <c r="F179" s="256" t="s">
        <v>375</v>
      </c>
      <c r="G179" s="64">
        <f>654576-32800</f>
        <v>621776</v>
      </c>
      <c r="H179" s="272">
        <v>0</v>
      </c>
      <c r="I179" s="272"/>
      <c r="J179" s="272">
        <f>G179-H179</f>
        <v>621776</v>
      </c>
      <c r="K179" s="149"/>
    </row>
    <row r="180" spans="1:11" s="9" customFormat="1" ht="12.75">
      <c r="A180" s="23"/>
      <c r="B180" s="256" t="s">
        <v>145</v>
      </c>
      <c r="C180" s="256" t="s">
        <v>658</v>
      </c>
      <c r="D180" s="256" t="s">
        <v>146</v>
      </c>
      <c r="E180" s="256" t="s">
        <v>30</v>
      </c>
      <c r="F180" s="256" t="s">
        <v>128</v>
      </c>
      <c r="G180" s="64">
        <v>63388</v>
      </c>
      <c r="H180" s="272">
        <v>63388</v>
      </c>
      <c r="I180" s="272">
        <v>63388</v>
      </c>
      <c r="J180" s="272">
        <f>G180-H180</f>
        <v>0</v>
      </c>
      <c r="K180" s="149"/>
    </row>
    <row r="181" spans="1:10" s="9" customFormat="1" ht="12.75">
      <c r="A181" s="58" t="s">
        <v>171</v>
      </c>
      <c r="B181" s="279" t="s">
        <v>145</v>
      </c>
      <c r="C181" s="279" t="s">
        <v>213</v>
      </c>
      <c r="D181" s="279"/>
      <c r="E181" s="279"/>
      <c r="F181" s="279"/>
      <c r="G181" s="313">
        <f>G182+G243</f>
        <v>19322825.52</v>
      </c>
      <c r="H181" s="313">
        <f>H182+H243</f>
        <v>17537914.220000003</v>
      </c>
      <c r="I181" s="313">
        <f>I182+I243</f>
        <v>18649134.570000004</v>
      </c>
      <c r="J181" s="313">
        <f>J182+J243</f>
        <v>1784911.2999999989</v>
      </c>
    </row>
    <row r="182" spans="1:10" s="9" customFormat="1" ht="12.75">
      <c r="A182" s="31" t="s">
        <v>256</v>
      </c>
      <c r="B182" s="256" t="s">
        <v>145</v>
      </c>
      <c r="C182" s="279" t="s">
        <v>257</v>
      </c>
      <c r="D182" s="279"/>
      <c r="E182" s="279"/>
      <c r="F182" s="279"/>
      <c r="G182" s="313">
        <f>G183+G187+G227+G261</f>
        <v>18522771.419999998</v>
      </c>
      <c r="H182" s="313">
        <f>H183+H187+H227+H261</f>
        <v>17035444.220000003</v>
      </c>
      <c r="I182" s="313">
        <f>I183+I187+I227+I261</f>
        <v>17962765.980000004</v>
      </c>
      <c r="J182" s="313">
        <f>J183+J187+J227+J261</f>
        <v>1487327.1999999988</v>
      </c>
    </row>
    <row r="183" spans="1:10" s="9" customFormat="1" ht="12.75">
      <c r="A183" s="31" t="s">
        <v>239</v>
      </c>
      <c r="B183" s="279" t="s">
        <v>145</v>
      </c>
      <c r="C183" s="279" t="s">
        <v>240</v>
      </c>
      <c r="D183" s="279"/>
      <c r="E183" s="279"/>
      <c r="F183" s="279"/>
      <c r="G183" s="313">
        <f>G184</f>
        <v>0</v>
      </c>
      <c r="H183" s="313">
        <f aca="true" t="shared" si="8" ref="H183:J185">H184</f>
        <v>0</v>
      </c>
      <c r="I183" s="313">
        <f t="shared" si="8"/>
        <v>0</v>
      </c>
      <c r="J183" s="313">
        <f t="shared" si="8"/>
        <v>0</v>
      </c>
    </row>
    <row r="184" spans="1:10" s="9" customFormat="1" ht="12.75">
      <c r="A184" s="31" t="s">
        <v>362</v>
      </c>
      <c r="B184" s="279" t="s">
        <v>145</v>
      </c>
      <c r="C184" s="279" t="s">
        <v>240</v>
      </c>
      <c r="D184" s="279" t="s">
        <v>249</v>
      </c>
      <c r="E184" s="279"/>
      <c r="F184" s="279"/>
      <c r="G184" s="313">
        <f>G185</f>
        <v>0</v>
      </c>
      <c r="H184" s="313">
        <f t="shared" si="8"/>
        <v>0</v>
      </c>
      <c r="I184" s="313">
        <f t="shared" si="8"/>
        <v>0</v>
      </c>
      <c r="J184" s="313">
        <f t="shared" si="8"/>
        <v>0</v>
      </c>
    </row>
    <row r="185" spans="1:10" s="9" customFormat="1" ht="12.75">
      <c r="A185" s="162" t="s">
        <v>35</v>
      </c>
      <c r="B185" s="297" t="s">
        <v>145</v>
      </c>
      <c r="C185" s="297" t="s">
        <v>240</v>
      </c>
      <c r="D185" s="297" t="s">
        <v>249</v>
      </c>
      <c r="E185" s="297"/>
      <c r="F185" s="297"/>
      <c r="G185" s="301">
        <f>G186</f>
        <v>0</v>
      </c>
      <c r="H185" s="301">
        <f t="shared" si="8"/>
        <v>0</v>
      </c>
      <c r="I185" s="301">
        <f t="shared" si="8"/>
        <v>0</v>
      </c>
      <c r="J185" s="301">
        <f t="shared" si="8"/>
        <v>0</v>
      </c>
    </row>
    <row r="186" spans="1:15" s="173" customFormat="1" ht="12.75">
      <c r="A186" s="157" t="s">
        <v>241</v>
      </c>
      <c r="B186" s="330" t="s">
        <v>145</v>
      </c>
      <c r="C186" s="330" t="s">
        <v>240</v>
      </c>
      <c r="D186" s="330" t="s">
        <v>539</v>
      </c>
      <c r="E186" s="330" t="s">
        <v>219</v>
      </c>
      <c r="F186" s="330"/>
      <c r="G186" s="307">
        <f>1961726.3-1900000-61726.3</f>
        <v>0</v>
      </c>
      <c r="H186" s="307"/>
      <c r="I186" s="307"/>
      <c r="J186" s="331">
        <f>G186-H186</f>
        <v>0</v>
      </c>
      <c r="K186" s="146"/>
      <c r="L186" s="146"/>
      <c r="M186" s="146"/>
      <c r="N186" s="146"/>
      <c r="O186" s="146"/>
    </row>
    <row r="187" spans="1:11" s="9" customFormat="1" ht="25.5">
      <c r="A187" s="31" t="s">
        <v>242</v>
      </c>
      <c r="B187" s="279" t="s">
        <v>145</v>
      </c>
      <c r="C187" s="279" t="s">
        <v>243</v>
      </c>
      <c r="D187" s="279"/>
      <c r="E187" s="279"/>
      <c r="F187" s="279"/>
      <c r="G187" s="313">
        <f>G188+G229</f>
        <v>18508731.419999998</v>
      </c>
      <c r="H187" s="313">
        <f>H188+H229</f>
        <v>17021404.220000003</v>
      </c>
      <c r="I187" s="313">
        <f>I188+I229</f>
        <v>17948725.980000004</v>
      </c>
      <c r="J187" s="313">
        <f>J188+J229</f>
        <v>1487327.1999999988</v>
      </c>
      <c r="K187" s="191"/>
    </row>
    <row r="188" spans="1:11" s="9" customFormat="1" ht="25.5">
      <c r="A188" s="31" t="s">
        <v>237</v>
      </c>
      <c r="B188" s="279" t="s">
        <v>145</v>
      </c>
      <c r="C188" s="279" t="s">
        <v>243</v>
      </c>
      <c r="D188" s="279" t="s">
        <v>219</v>
      </c>
      <c r="E188" s="256"/>
      <c r="F188" s="256"/>
      <c r="G188" s="313">
        <f>G191+G197+G210+G222+G224+G220+G189+G196+G219</f>
        <v>18229875.419999998</v>
      </c>
      <c r="H188" s="313">
        <f>H191+H197+H210+H222+H224+H220+H189+H196+H219</f>
        <v>16818151.35</v>
      </c>
      <c r="I188" s="313">
        <f>I191+I197+I210+I222+I224+I220+I189+I196+I219</f>
        <v>17747718.980000004</v>
      </c>
      <c r="J188" s="313">
        <f>J191+J197+J210+J222+J224+J220+J189+J196+J219</f>
        <v>1411724.069999999</v>
      </c>
      <c r="K188" s="191"/>
    </row>
    <row r="189" spans="1:10" s="9" customFormat="1" ht="12.75">
      <c r="A189" s="31" t="s">
        <v>516</v>
      </c>
      <c r="B189" s="281" t="s">
        <v>145</v>
      </c>
      <c r="C189" s="281" t="s">
        <v>243</v>
      </c>
      <c r="D189" s="281" t="s">
        <v>146</v>
      </c>
      <c r="E189" s="281" t="s">
        <v>21</v>
      </c>
      <c r="F189" s="256"/>
      <c r="G189" s="313">
        <f>G190</f>
        <v>23371.399999999994</v>
      </c>
      <c r="H189" s="313">
        <f>H190</f>
        <v>23370.78</v>
      </c>
      <c r="I189" s="313">
        <f>I190</f>
        <v>23370.78</v>
      </c>
      <c r="J189" s="313">
        <f>J190</f>
        <v>0.6199999999953434</v>
      </c>
    </row>
    <row r="190" spans="1:10" s="9" customFormat="1" ht="12.75">
      <c r="A190" s="21" t="s">
        <v>20</v>
      </c>
      <c r="B190" s="256" t="s">
        <v>145</v>
      </c>
      <c r="C190" s="256" t="s">
        <v>243</v>
      </c>
      <c r="D190" s="256" t="s">
        <v>146</v>
      </c>
      <c r="E190" s="256" t="s">
        <v>21</v>
      </c>
      <c r="F190" s="256" t="s">
        <v>117</v>
      </c>
      <c r="G190" s="64">
        <f>96000+7866.4-9200-71295</f>
        <v>23371.399999999994</v>
      </c>
      <c r="H190" s="272">
        <f>23370.78</f>
        <v>23370.78</v>
      </c>
      <c r="I190" s="272">
        <f>23370.78</f>
        <v>23370.78</v>
      </c>
      <c r="J190" s="272">
        <f>G190-H190</f>
        <v>0.6199999999953434</v>
      </c>
    </row>
    <row r="191" spans="1:10" s="9" customFormat="1" ht="15.75">
      <c r="A191" s="101" t="s">
        <v>245</v>
      </c>
      <c r="B191" s="281" t="s">
        <v>145</v>
      </c>
      <c r="C191" s="281" t="s">
        <v>243</v>
      </c>
      <c r="D191" s="281" t="s">
        <v>146</v>
      </c>
      <c r="E191" s="281" t="s">
        <v>24</v>
      </c>
      <c r="F191" s="281"/>
      <c r="G191" s="284">
        <f>G192+G193+G194+G195</f>
        <v>14720467.09</v>
      </c>
      <c r="H191" s="284">
        <f>H192+H193+H194+H195</f>
        <v>13984612.280000003</v>
      </c>
      <c r="I191" s="284">
        <f>I192+I193+I194+I195</f>
        <v>14537396.200000003</v>
      </c>
      <c r="J191" s="284">
        <f>J192+J193+J194+J195</f>
        <v>735854.8099999989</v>
      </c>
    </row>
    <row r="192" spans="1:14" s="9" customFormat="1" ht="12.75">
      <c r="A192" s="30" t="s">
        <v>106</v>
      </c>
      <c r="B192" s="256" t="s">
        <v>145</v>
      </c>
      <c r="C192" s="256" t="s">
        <v>243</v>
      </c>
      <c r="D192" s="256" t="s">
        <v>615</v>
      </c>
      <c r="E192" s="256" t="s">
        <v>24</v>
      </c>
      <c r="F192" s="256" t="s">
        <v>147</v>
      </c>
      <c r="G192" s="64">
        <f>11044967.09-68881-20358-428828.31+3475+40454</f>
        <v>10570828.78</v>
      </c>
      <c r="H192" s="272">
        <v>10041009.47</v>
      </c>
      <c r="I192" s="272">
        <f>3679286.2+6651377.65+199710.18+40452.63</f>
        <v>10570826.660000002</v>
      </c>
      <c r="J192" s="276">
        <f>G192-H192</f>
        <v>529819.3099999987</v>
      </c>
      <c r="K192" s="228"/>
      <c r="L192" s="228"/>
      <c r="M192" s="228"/>
      <c r="N192" s="8"/>
    </row>
    <row r="193" spans="1:11" s="9" customFormat="1" ht="12.75">
      <c r="A193" s="30" t="s">
        <v>107</v>
      </c>
      <c r="B193" s="256" t="s">
        <v>145</v>
      </c>
      <c r="C193" s="256" t="s">
        <v>243</v>
      </c>
      <c r="D193" s="256" t="s">
        <v>615</v>
      </c>
      <c r="E193" s="256" t="s">
        <v>24</v>
      </c>
      <c r="F193" s="256" t="s">
        <v>118</v>
      </c>
      <c r="G193" s="64">
        <f>3531010-516585+89326.31-120000-30975-40454</f>
        <v>2912322.31</v>
      </c>
      <c r="H193" s="272">
        <f>1639000+994950+96187.77+51922.61</f>
        <v>2782060.38</v>
      </c>
      <c r="I193" s="272">
        <f>1639000+994950+96187.77+51922.61</f>
        <v>2782060.38</v>
      </c>
      <c r="J193" s="313">
        <f>G193-H193</f>
        <v>130261.93000000017</v>
      </c>
      <c r="K193" s="142"/>
    </row>
    <row r="194" spans="1:13" s="9" customFormat="1" ht="25.5">
      <c r="A194" s="30" t="s">
        <v>108</v>
      </c>
      <c r="B194" s="256" t="s">
        <v>145</v>
      </c>
      <c r="C194" s="256" t="s">
        <v>243</v>
      </c>
      <c r="D194" s="256" t="s">
        <v>146</v>
      </c>
      <c r="E194" s="256" t="s">
        <v>24</v>
      </c>
      <c r="F194" s="256" t="s">
        <v>119</v>
      </c>
      <c r="G194" s="64">
        <f>1120107-200000</f>
        <v>920107</v>
      </c>
      <c r="H194" s="272">
        <v>862661.46</v>
      </c>
      <c r="I194" s="272">
        <f>11286.08+241994.59+520511.93+13880.28+34163.04+49794.81+562.74+3073.42+6338.46</f>
        <v>881605.35</v>
      </c>
      <c r="J194" s="276">
        <f>G194-H194</f>
        <v>57445.54000000004</v>
      </c>
      <c r="K194" s="142"/>
      <c r="L194" s="135"/>
      <c r="M194" s="135"/>
    </row>
    <row r="195" spans="1:13" s="9" customFormat="1" ht="12.75">
      <c r="A195" s="30" t="s">
        <v>109</v>
      </c>
      <c r="B195" s="256" t="s">
        <v>145</v>
      </c>
      <c r="C195" s="256" t="s">
        <v>243</v>
      </c>
      <c r="D195" s="256" t="s">
        <v>146</v>
      </c>
      <c r="E195" s="256" t="s">
        <v>24</v>
      </c>
      <c r="F195" s="256" t="s">
        <v>120</v>
      </c>
      <c r="G195" s="64">
        <f>211970+68881+20358+16000</f>
        <v>317209</v>
      </c>
      <c r="H195" s="272">
        <v>298880.97</v>
      </c>
      <c r="I195" s="272">
        <f>10892.72+269957.72+20357.48+1695.89</f>
        <v>302903.80999999994</v>
      </c>
      <c r="J195" s="276">
        <f>G195-H195</f>
        <v>18328.030000000028</v>
      </c>
      <c r="K195" s="145"/>
      <c r="L195" s="135"/>
      <c r="M195" s="135"/>
    </row>
    <row r="196" spans="1:13" s="9" customFormat="1" ht="12.75">
      <c r="A196" s="30"/>
      <c r="B196" s="256" t="s">
        <v>145</v>
      </c>
      <c r="C196" s="256" t="s">
        <v>243</v>
      </c>
      <c r="D196" s="256" t="s">
        <v>146</v>
      </c>
      <c r="E196" s="256" t="s">
        <v>505</v>
      </c>
      <c r="F196" s="256" t="s">
        <v>201</v>
      </c>
      <c r="G196" s="64">
        <v>0</v>
      </c>
      <c r="H196" s="272"/>
      <c r="I196" s="272"/>
      <c r="J196" s="272">
        <f>G196-H196</f>
        <v>0</v>
      </c>
      <c r="K196" s="135"/>
      <c r="L196" s="135"/>
      <c r="M196" s="135"/>
    </row>
    <row r="197" spans="1:10" s="9" customFormat="1" ht="38.25">
      <c r="A197" s="90" t="s">
        <v>244</v>
      </c>
      <c r="B197" s="281" t="s">
        <v>145</v>
      </c>
      <c r="C197" s="281" t="s">
        <v>243</v>
      </c>
      <c r="D197" s="281" t="s">
        <v>146</v>
      </c>
      <c r="E197" s="281" t="s">
        <v>27</v>
      </c>
      <c r="F197" s="281"/>
      <c r="G197" s="272">
        <f>G198+G202+G201</f>
        <v>2972609.59</v>
      </c>
      <c r="H197" s="272">
        <f>H198+H202+H201</f>
        <v>2354664.96</v>
      </c>
      <c r="I197" s="272">
        <f>I198+I202+I201</f>
        <v>2722565.38</v>
      </c>
      <c r="J197" s="272">
        <f>J198+J202+J201</f>
        <v>617944.63</v>
      </c>
    </row>
    <row r="198" spans="1:11" s="9" customFormat="1" ht="38.25">
      <c r="A198" s="31" t="s">
        <v>600</v>
      </c>
      <c r="B198" s="251" t="s">
        <v>145</v>
      </c>
      <c r="C198" s="251" t="s">
        <v>243</v>
      </c>
      <c r="D198" s="251" t="s">
        <v>146</v>
      </c>
      <c r="E198" s="251" t="s">
        <v>27</v>
      </c>
      <c r="F198" s="251" t="s">
        <v>121</v>
      </c>
      <c r="G198" s="59">
        <f>G199+G200</f>
        <v>1314268.01</v>
      </c>
      <c r="H198" s="59">
        <f>H199+H200</f>
        <v>1158384.98</v>
      </c>
      <c r="I198" s="59">
        <f>I199+I200</f>
        <v>1194206.49</v>
      </c>
      <c r="J198" s="59">
        <f>J199+J200</f>
        <v>155883.02999999994</v>
      </c>
      <c r="K198" s="213"/>
    </row>
    <row r="199" spans="1:11" s="9" customFormat="1" ht="25.5">
      <c r="A199" s="33" t="s">
        <v>601</v>
      </c>
      <c r="B199" s="286"/>
      <c r="C199" s="286"/>
      <c r="D199" s="286"/>
      <c r="E199" s="286"/>
      <c r="F199" s="286"/>
      <c r="G199" s="288">
        <v>969429.39</v>
      </c>
      <c r="H199" s="288">
        <f>105305.65+841500+667.92+15000-31958.35</f>
        <v>930515.2200000001</v>
      </c>
      <c r="I199" s="288">
        <f>105305.65+841500+667.92+15000</f>
        <v>962473.5700000001</v>
      </c>
      <c r="J199" s="332">
        <f>G199-H199</f>
        <v>38914.169999999925</v>
      </c>
      <c r="K199" s="149"/>
    </row>
    <row r="200" spans="1:11" s="9" customFormat="1" ht="25.5">
      <c r="A200" s="33" t="s">
        <v>162</v>
      </c>
      <c r="B200" s="286"/>
      <c r="C200" s="286"/>
      <c r="D200" s="286"/>
      <c r="E200" s="286"/>
      <c r="F200" s="286"/>
      <c r="G200" s="288">
        <f>544838.62-200000</f>
        <v>344838.62</v>
      </c>
      <c r="H200" s="288">
        <f>39132.88+10512.95+667.6+423.62+4932.67+28064.43+1091.22+12923.3+121118.81+9002.28</f>
        <v>227869.75999999998</v>
      </c>
      <c r="I200" s="288">
        <f>49645.83+667.6+423.62+4932.67+31927.59+1091.22+12923.3+121118.81+9002.28</f>
        <v>231732.92</v>
      </c>
      <c r="J200" s="332">
        <f>G200-H200</f>
        <v>116968.86000000002</v>
      </c>
      <c r="K200" s="149"/>
    </row>
    <row r="201" spans="1:11" s="9" customFormat="1" ht="12.75">
      <c r="A201" s="30" t="s">
        <v>599</v>
      </c>
      <c r="B201" s="256" t="s">
        <v>145</v>
      </c>
      <c r="C201" s="256" t="s">
        <v>243</v>
      </c>
      <c r="D201" s="256" t="s">
        <v>146</v>
      </c>
      <c r="E201" s="256" t="s">
        <v>24</v>
      </c>
      <c r="F201" s="256" t="s">
        <v>531</v>
      </c>
      <c r="G201" s="64">
        <f>2110+2500</f>
        <v>4610</v>
      </c>
      <c r="H201" s="272">
        <v>4335.54</v>
      </c>
      <c r="I201" s="272">
        <f>183.36+183.36+1234.48+311.13+2606.57</f>
        <v>4518.9</v>
      </c>
      <c r="J201" s="272">
        <f>G201-H201</f>
        <v>274.46000000000004</v>
      </c>
      <c r="K201" s="149"/>
    </row>
    <row r="202" spans="1:12" s="9" customFormat="1" ht="38.25">
      <c r="A202" s="55" t="s">
        <v>154</v>
      </c>
      <c r="B202" s="251" t="s">
        <v>145</v>
      </c>
      <c r="C202" s="251" t="s">
        <v>243</v>
      </c>
      <c r="D202" s="251" t="s">
        <v>146</v>
      </c>
      <c r="E202" s="251" t="s">
        <v>27</v>
      </c>
      <c r="F202" s="251" t="s">
        <v>124</v>
      </c>
      <c r="G202" s="59">
        <f>G203+G206+G208</f>
        <v>1653731.58</v>
      </c>
      <c r="H202" s="59">
        <f>H203+H206+H208</f>
        <v>1191944.44</v>
      </c>
      <c r="I202" s="59">
        <f>I203+I206+I208</f>
        <v>1523839.99</v>
      </c>
      <c r="J202" s="59">
        <f>G202-H202</f>
        <v>461787.14000000013</v>
      </c>
      <c r="K202" s="144"/>
      <c r="L202" s="215"/>
    </row>
    <row r="203" spans="1:10" s="9" customFormat="1" ht="25.5">
      <c r="A203" s="209" t="s">
        <v>155</v>
      </c>
      <c r="B203" s="286"/>
      <c r="C203" s="286"/>
      <c r="D203" s="286"/>
      <c r="E203" s="286"/>
      <c r="F203" s="286"/>
      <c r="G203" s="64">
        <f>820278.95+269632-82070</f>
        <v>1007840.95</v>
      </c>
      <c r="H203" s="64">
        <f>91295.28+710600+18000+187562-299699.39</f>
        <v>707757.89</v>
      </c>
      <c r="I203" s="64">
        <f>91295.28+710600+18000+187562</f>
        <v>1007457.28</v>
      </c>
      <c r="J203" s="64">
        <f>G203-H203</f>
        <v>300083.05999999994</v>
      </c>
    </row>
    <row r="204" spans="1:10" s="9" customFormat="1" ht="12.75">
      <c r="A204" s="37" t="s">
        <v>160</v>
      </c>
      <c r="B204" s="296"/>
      <c r="C204" s="296"/>
      <c r="D204" s="296"/>
      <c r="E204" s="296"/>
      <c r="F204" s="296"/>
      <c r="G204" s="272"/>
      <c r="H204" s="272"/>
      <c r="I204" s="272"/>
      <c r="J204" s="307">
        <f aca="true" t="shared" si="9" ref="J204:J209">G204-H204</f>
        <v>0</v>
      </c>
    </row>
    <row r="205" spans="1:10" s="9" customFormat="1" ht="12.75">
      <c r="A205" s="37" t="s">
        <v>161</v>
      </c>
      <c r="B205" s="296"/>
      <c r="C205" s="296"/>
      <c r="D205" s="296"/>
      <c r="E205" s="296"/>
      <c r="F205" s="296"/>
      <c r="G205" s="272"/>
      <c r="H205" s="272"/>
      <c r="I205" s="272"/>
      <c r="J205" s="307">
        <f t="shared" si="9"/>
        <v>0</v>
      </c>
    </row>
    <row r="206" spans="1:10" s="9" customFormat="1" ht="38.25">
      <c r="A206" s="37" t="s">
        <v>645</v>
      </c>
      <c r="B206" s="296"/>
      <c r="C206" s="296"/>
      <c r="D206" s="296"/>
      <c r="E206" s="296"/>
      <c r="F206" s="296"/>
      <c r="G206" s="272">
        <f>620057.3-150000+15000</f>
        <v>485057.30000000005</v>
      </c>
      <c r="H206" s="272">
        <f>64505.98+28326.3+0.6+1798.73+8130.97+42261.02+1798.73+40684.64+21302.55+233000.28+23364.8-42548.14+40555.45</f>
        <v>463181.91000000003</v>
      </c>
      <c r="I206" s="272">
        <f>64505.98+28326.3+0.6+1798.73+8130.97+52628.89+1798.73+40684.64+21302.55+233000.28+23364.8</f>
        <v>475542.47000000003</v>
      </c>
      <c r="J206" s="307">
        <f t="shared" si="9"/>
        <v>21875.390000000014</v>
      </c>
    </row>
    <row r="207" spans="1:10" s="9" customFormat="1" ht="25.5">
      <c r="A207" s="37" t="s">
        <v>206</v>
      </c>
      <c r="B207" s="296"/>
      <c r="C207" s="296"/>
      <c r="D207" s="296"/>
      <c r="E207" s="296"/>
      <c r="F207" s="296"/>
      <c r="G207" s="272">
        <v>0</v>
      </c>
      <c r="H207" s="272"/>
      <c r="I207" s="272"/>
      <c r="J207" s="307">
        <f t="shared" si="9"/>
        <v>0</v>
      </c>
    </row>
    <row r="208" spans="1:11" s="9" customFormat="1" ht="38.25">
      <c r="A208" s="37" t="s">
        <v>353</v>
      </c>
      <c r="B208" s="296"/>
      <c r="C208" s="296"/>
      <c r="D208" s="296"/>
      <c r="E208" s="296"/>
      <c r="F208" s="296"/>
      <c r="G208" s="272">
        <f>163333.33-2500</f>
        <v>160833.33</v>
      </c>
      <c r="H208" s="272">
        <f>21000+19840.24-19835.6</f>
        <v>21004.640000000007</v>
      </c>
      <c r="I208" s="272">
        <f>21000+19840.24</f>
        <v>40840.240000000005</v>
      </c>
      <c r="J208" s="307">
        <f t="shared" si="9"/>
        <v>139828.68999999997</v>
      </c>
      <c r="K208" s="149"/>
    </row>
    <row r="209" spans="1:10" s="9" customFormat="1" ht="12.75">
      <c r="A209" s="37" t="s">
        <v>203</v>
      </c>
      <c r="B209" s="256" t="s">
        <v>145</v>
      </c>
      <c r="C209" s="256" t="s">
        <v>169</v>
      </c>
      <c r="D209" s="256" t="s">
        <v>146</v>
      </c>
      <c r="E209" s="256" t="s">
        <v>30</v>
      </c>
      <c r="F209" s="256" t="s">
        <v>204</v>
      </c>
      <c r="G209" s="272"/>
      <c r="H209" s="272"/>
      <c r="I209" s="272"/>
      <c r="J209" s="307">
        <f t="shared" si="9"/>
        <v>0</v>
      </c>
    </row>
    <row r="210" spans="1:24" s="9" customFormat="1" ht="12.75">
      <c r="A210" s="90" t="s">
        <v>29</v>
      </c>
      <c r="B210" s="281" t="s">
        <v>145</v>
      </c>
      <c r="C210" s="281" t="s">
        <v>243</v>
      </c>
      <c r="D210" s="281" t="s">
        <v>146</v>
      </c>
      <c r="E210" s="281" t="s">
        <v>30</v>
      </c>
      <c r="F210" s="281"/>
      <c r="G210" s="284">
        <f>G214+G213+G212+G211</f>
        <v>431357.33999999997</v>
      </c>
      <c r="H210" s="284">
        <f>H214+H213+H212+H211</f>
        <v>373433.32999999996</v>
      </c>
      <c r="I210" s="284">
        <f>I214+I213+I212</f>
        <v>382316.62</v>
      </c>
      <c r="J210" s="284">
        <f>J211+J212+J213+J214</f>
        <v>57924.01000000001</v>
      </c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</row>
    <row r="211" spans="1:24" s="9" customFormat="1" ht="12.75">
      <c r="A211" s="90"/>
      <c r="B211" s="256" t="s">
        <v>145</v>
      </c>
      <c r="C211" s="256" t="s">
        <v>243</v>
      </c>
      <c r="D211" s="256" t="s">
        <v>146</v>
      </c>
      <c r="E211" s="256" t="s">
        <v>30</v>
      </c>
      <c r="F211" s="256" t="s">
        <v>375</v>
      </c>
      <c r="G211" s="272">
        <v>0</v>
      </c>
      <c r="H211" s="272"/>
      <c r="I211" s="272"/>
      <c r="J211" s="272">
        <f>G211-H211</f>
        <v>0</v>
      </c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</row>
    <row r="212" spans="1:24" s="9" customFormat="1" ht="12.75">
      <c r="A212" s="23" t="s">
        <v>442</v>
      </c>
      <c r="B212" s="256" t="s">
        <v>145</v>
      </c>
      <c r="C212" s="256" t="s">
        <v>243</v>
      </c>
      <c r="D212" s="256" t="s">
        <v>146</v>
      </c>
      <c r="E212" s="256" t="s">
        <v>30</v>
      </c>
      <c r="F212" s="256" t="s">
        <v>204</v>
      </c>
      <c r="G212" s="272">
        <v>125996.4</v>
      </c>
      <c r="H212" s="272">
        <v>125996.4</v>
      </c>
      <c r="I212" s="272">
        <v>125996.4</v>
      </c>
      <c r="J212" s="272">
        <f>G212-H212</f>
        <v>0</v>
      </c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</row>
    <row r="213" spans="1:10" s="9" customFormat="1" ht="15.75">
      <c r="A213" s="127" t="s">
        <v>366</v>
      </c>
      <c r="B213" s="256" t="s">
        <v>145</v>
      </c>
      <c r="C213" s="256" t="s">
        <v>243</v>
      </c>
      <c r="D213" s="256" t="s">
        <v>146</v>
      </c>
      <c r="E213" s="256" t="s">
        <v>30</v>
      </c>
      <c r="F213" s="256" t="s">
        <v>201</v>
      </c>
      <c r="G213" s="284">
        <v>0</v>
      </c>
      <c r="H213" s="284"/>
      <c r="I213" s="284"/>
      <c r="J213" s="333"/>
    </row>
    <row r="214" spans="1:11" s="9" customFormat="1" ht="12.75">
      <c r="A214" s="22" t="s">
        <v>602</v>
      </c>
      <c r="B214" s="279" t="s">
        <v>145</v>
      </c>
      <c r="C214" s="279" t="s">
        <v>243</v>
      </c>
      <c r="D214" s="279" t="s">
        <v>146</v>
      </c>
      <c r="E214" s="279" t="s">
        <v>30</v>
      </c>
      <c r="F214" s="279" t="s">
        <v>128</v>
      </c>
      <c r="G214" s="59">
        <f>G215+G216+G217+G218</f>
        <v>305360.94</v>
      </c>
      <c r="H214" s="59">
        <f>H215+H216+H217+H218</f>
        <v>247436.93</v>
      </c>
      <c r="I214" s="59">
        <f>I215+I216+I217+I218</f>
        <v>256320.22</v>
      </c>
      <c r="J214" s="59">
        <f>J215+J216+J217+J218</f>
        <v>57924.01000000001</v>
      </c>
      <c r="K214" s="176"/>
    </row>
    <row r="215" spans="1:11" s="9" customFormat="1" ht="12.75">
      <c r="A215" s="23" t="s">
        <v>603</v>
      </c>
      <c r="B215" s="256"/>
      <c r="C215" s="256"/>
      <c r="D215" s="256"/>
      <c r="E215" s="256"/>
      <c r="F215" s="256"/>
      <c r="G215" s="64">
        <f>56000+71295</f>
        <v>127295</v>
      </c>
      <c r="H215" s="272">
        <f>5600+54153.9+71066.32</f>
        <v>130820.22</v>
      </c>
      <c r="I215" s="272">
        <f>5600+54153.9+71066.32</f>
        <v>130820.22</v>
      </c>
      <c r="J215" s="272">
        <f>G215-H215</f>
        <v>-3525.220000000001</v>
      </c>
      <c r="K215" s="176"/>
    </row>
    <row r="216" spans="1:11" s="9" customFormat="1" ht="12.75">
      <c r="A216" s="23" t="s">
        <v>604</v>
      </c>
      <c r="B216" s="256"/>
      <c r="C216" s="256"/>
      <c r="D216" s="256"/>
      <c r="E216" s="256"/>
      <c r="F216" s="256"/>
      <c r="G216" s="64">
        <f>35000-35000</f>
        <v>0</v>
      </c>
      <c r="H216" s="272"/>
      <c r="I216" s="272"/>
      <c r="J216" s="272">
        <f>G216-H216</f>
        <v>0</v>
      </c>
      <c r="K216" s="176"/>
    </row>
    <row r="217" spans="1:11" s="9" customFormat="1" ht="12.75">
      <c r="A217" s="23" t="s">
        <v>605</v>
      </c>
      <c r="B217" s="256"/>
      <c r="C217" s="256"/>
      <c r="D217" s="256"/>
      <c r="E217" s="256"/>
      <c r="F217" s="256"/>
      <c r="G217" s="64">
        <f>137112-125996.4</f>
        <v>11115.600000000006</v>
      </c>
      <c r="H217" s="272"/>
      <c r="I217" s="272"/>
      <c r="J217" s="272">
        <f>G217-H217</f>
        <v>11115.600000000006</v>
      </c>
      <c r="K217" s="176"/>
    </row>
    <row r="218" spans="1:11" s="9" customFormat="1" ht="12.75">
      <c r="A218" s="23" t="s">
        <v>606</v>
      </c>
      <c r="B218" s="256"/>
      <c r="C218" s="256"/>
      <c r="D218" s="256"/>
      <c r="E218" s="256"/>
      <c r="F218" s="256"/>
      <c r="G218" s="64">
        <f>171888+50000-7866.4-10660.26+300-21711-15000</f>
        <v>166950.34</v>
      </c>
      <c r="H218" s="272">
        <f>29500+96000-8883.29</f>
        <v>116616.70999999999</v>
      </c>
      <c r="I218" s="272">
        <f>29500+96000</f>
        <v>125500</v>
      </c>
      <c r="J218" s="272">
        <f>G218-H218</f>
        <v>50333.630000000005</v>
      </c>
      <c r="K218" s="231"/>
    </row>
    <row r="219" spans="1:11" s="9" customFormat="1" ht="12.75">
      <c r="A219" s="23" t="s">
        <v>138</v>
      </c>
      <c r="B219" s="256" t="s">
        <v>145</v>
      </c>
      <c r="C219" s="256" t="s">
        <v>243</v>
      </c>
      <c r="D219" s="256" t="s">
        <v>146</v>
      </c>
      <c r="E219" s="256" t="s">
        <v>39</v>
      </c>
      <c r="F219" s="256" t="s">
        <v>131</v>
      </c>
      <c r="G219" s="64">
        <v>82070</v>
      </c>
      <c r="H219" s="272">
        <v>82070</v>
      </c>
      <c r="I219" s="272">
        <v>82070</v>
      </c>
      <c r="J219" s="272">
        <f>G219-H219</f>
        <v>0</v>
      </c>
      <c r="K219" s="231"/>
    </row>
    <row r="220" spans="1:10" s="9" customFormat="1" ht="12.75">
      <c r="A220" s="90" t="s">
        <v>35</v>
      </c>
      <c r="B220" s="281" t="s">
        <v>145</v>
      </c>
      <c r="C220" s="281" t="s">
        <v>243</v>
      </c>
      <c r="D220" s="281" t="s">
        <v>146</v>
      </c>
      <c r="E220" s="281" t="s">
        <v>36</v>
      </c>
      <c r="F220" s="334"/>
      <c r="G220" s="284"/>
      <c r="H220" s="284">
        <f>H221</f>
        <v>0</v>
      </c>
      <c r="I220" s="284">
        <f>I221</f>
        <v>0</v>
      </c>
      <c r="J220" s="284">
        <f>J221</f>
        <v>0</v>
      </c>
    </row>
    <row r="221" spans="1:10" s="9" customFormat="1" ht="25.5">
      <c r="A221" s="23" t="s">
        <v>364</v>
      </c>
      <c r="B221" s="256" t="s">
        <v>145</v>
      </c>
      <c r="C221" s="256" t="s">
        <v>243</v>
      </c>
      <c r="D221" s="256" t="s">
        <v>146</v>
      </c>
      <c r="E221" s="256" t="s">
        <v>36</v>
      </c>
      <c r="F221" s="256" t="s">
        <v>134</v>
      </c>
      <c r="G221" s="272"/>
      <c r="H221" s="272"/>
      <c r="I221" s="272"/>
      <c r="J221" s="333"/>
    </row>
    <row r="222" spans="1:10" s="9" customFormat="1" ht="12.75">
      <c r="A222" s="90" t="s">
        <v>246</v>
      </c>
      <c r="B222" s="281" t="s">
        <v>145</v>
      </c>
      <c r="C222" s="281" t="s">
        <v>243</v>
      </c>
      <c r="D222" s="281" t="s">
        <v>146</v>
      </c>
      <c r="E222" s="281" t="s">
        <v>39</v>
      </c>
      <c r="F222" s="281"/>
      <c r="G222" s="284">
        <f>G223</f>
        <v>0</v>
      </c>
      <c r="H222" s="284">
        <f>H223</f>
        <v>0</v>
      </c>
      <c r="I222" s="284">
        <f>I223</f>
        <v>0</v>
      </c>
      <c r="J222" s="284">
        <f>J223</f>
        <v>0</v>
      </c>
    </row>
    <row r="223" spans="1:10" s="9" customFormat="1" ht="12.75">
      <c r="A223" s="23" t="s">
        <v>138</v>
      </c>
      <c r="B223" s="256" t="s">
        <v>145</v>
      </c>
      <c r="C223" s="256" t="s">
        <v>243</v>
      </c>
      <c r="D223" s="256" t="s">
        <v>146</v>
      </c>
      <c r="E223" s="256" t="s">
        <v>39</v>
      </c>
      <c r="F223" s="256" t="s">
        <v>131</v>
      </c>
      <c r="G223" s="272">
        <v>0</v>
      </c>
      <c r="H223" s="272"/>
      <c r="I223" s="272"/>
      <c r="J223" s="276">
        <f>G223-H223</f>
        <v>0</v>
      </c>
    </row>
    <row r="224" spans="1:10" s="9" customFormat="1" ht="12.75">
      <c r="A224" s="90" t="s">
        <v>247</v>
      </c>
      <c r="B224" s="281" t="s">
        <v>145</v>
      </c>
      <c r="C224" s="281" t="s">
        <v>243</v>
      </c>
      <c r="D224" s="281" t="s">
        <v>146</v>
      </c>
      <c r="E224" s="281" t="s">
        <v>497</v>
      </c>
      <c r="F224" s="281"/>
      <c r="G224" s="284">
        <f>G225+G226</f>
        <v>0</v>
      </c>
      <c r="H224" s="284">
        <f>H225+H226</f>
        <v>0</v>
      </c>
      <c r="I224" s="284">
        <f>I225+I226</f>
        <v>0</v>
      </c>
      <c r="J224" s="284">
        <f>J225+J226</f>
        <v>0</v>
      </c>
    </row>
    <row r="225" spans="1:10" s="9" customFormat="1" ht="12.75">
      <c r="A225" s="23" t="s">
        <v>182</v>
      </c>
      <c r="B225" s="256" t="s">
        <v>145</v>
      </c>
      <c r="C225" s="256" t="s">
        <v>243</v>
      </c>
      <c r="D225" s="256" t="s">
        <v>146</v>
      </c>
      <c r="E225" s="256" t="s">
        <v>497</v>
      </c>
      <c r="F225" s="256" t="s">
        <v>133</v>
      </c>
      <c r="G225" s="272">
        <v>0</v>
      </c>
      <c r="H225" s="272"/>
      <c r="I225" s="272"/>
      <c r="J225" s="64">
        <f>G225-H225</f>
        <v>0</v>
      </c>
    </row>
    <row r="226" spans="1:11" s="9" customFormat="1" ht="12.75">
      <c r="A226" s="23" t="s">
        <v>538</v>
      </c>
      <c r="B226" s="256" t="s">
        <v>145</v>
      </c>
      <c r="C226" s="256" t="s">
        <v>243</v>
      </c>
      <c r="D226" s="256" t="s">
        <v>146</v>
      </c>
      <c r="E226" s="256" t="s">
        <v>506</v>
      </c>
      <c r="F226" s="256" t="s">
        <v>132</v>
      </c>
      <c r="G226" s="272">
        <v>0</v>
      </c>
      <c r="H226" s="272"/>
      <c r="I226" s="272"/>
      <c r="J226" s="59">
        <f>G226-H226</f>
        <v>0</v>
      </c>
      <c r="K226" s="176"/>
    </row>
    <row r="227" spans="1:10" s="9" customFormat="1" ht="12.75">
      <c r="A227" s="23" t="s">
        <v>251</v>
      </c>
      <c r="B227" s="256" t="s">
        <v>145</v>
      </c>
      <c r="C227" s="256" t="s">
        <v>368</v>
      </c>
      <c r="D227" s="256" t="s">
        <v>370</v>
      </c>
      <c r="E227" s="256"/>
      <c r="F227" s="256"/>
      <c r="G227" s="272">
        <f>G228</f>
        <v>0</v>
      </c>
      <c r="H227" s="272">
        <f>H228</f>
        <v>0</v>
      </c>
      <c r="I227" s="272">
        <f>I228</f>
        <v>0</v>
      </c>
      <c r="J227" s="272">
        <f>J228</f>
        <v>0</v>
      </c>
    </row>
    <row r="228" spans="1:10" s="9" customFormat="1" ht="12.75">
      <c r="A228" s="23" t="s">
        <v>367</v>
      </c>
      <c r="B228" s="256" t="s">
        <v>145</v>
      </c>
      <c r="C228" s="256" t="s">
        <v>368</v>
      </c>
      <c r="D228" s="256" t="s">
        <v>370</v>
      </c>
      <c r="E228" s="256" t="s">
        <v>460</v>
      </c>
      <c r="F228" s="256" t="s">
        <v>389</v>
      </c>
      <c r="G228" s="272"/>
      <c r="H228" s="272"/>
      <c r="I228" s="272"/>
      <c r="J228" s="64">
        <f>G228-H228</f>
        <v>0</v>
      </c>
    </row>
    <row r="229" spans="1:10" s="9" customFormat="1" ht="12.75">
      <c r="A229" s="22" t="s">
        <v>248</v>
      </c>
      <c r="B229" s="279" t="s">
        <v>145</v>
      </c>
      <c r="C229" s="279" t="s">
        <v>243</v>
      </c>
      <c r="D229" s="279" t="s">
        <v>249</v>
      </c>
      <c r="E229" s="279"/>
      <c r="F229" s="279"/>
      <c r="G229" s="313">
        <f>G230+G233+G236</f>
        <v>278856</v>
      </c>
      <c r="H229" s="313">
        <f>H230+H233+H236</f>
        <v>203252.87</v>
      </c>
      <c r="I229" s="313">
        <f>I230+I233+I236</f>
        <v>201007</v>
      </c>
      <c r="J229" s="313">
        <f>J230+J233+J236</f>
        <v>75603.13</v>
      </c>
    </row>
    <row r="230" spans="1:10" s="9" customFormat="1" ht="12.75">
      <c r="A230" s="22" t="s">
        <v>250</v>
      </c>
      <c r="B230" s="279" t="s">
        <v>145</v>
      </c>
      <c r="C230" s="279" t="s">
        <v>243</v>
      </c>
      <c r="D230" s="279" t="s">
        <v>166</v>
      </c>
      <c r="E230" s="279"/>
      <c r="F230" s="279"/>
      <c r="G230" s="313">
        <f>G231</f>
        <v>37000</v>
      </c>
      <c r="H230" s="313">
        <f aca="true" t="shared" si="10" ref="H230:J231">H231</f>
        <v>0</v>
      </c>
      <c r="I230" s="313">
        <f t="shared" si="10"/>
        <v>0</v>
      </c>
      <c r="J230" s="313">
        <f t="shared" si="10"/>
        <v>37000</v>
      </c>
    </row>
    <row r="231" spans="1:10" s="9" customFormat="1" ht="12.75">
      <c r="A231" s="23" t="s">
        <v>251</v>
      </c>
      <c r="B231" s="256" t="s">
        <v>145</v>
      </c>
      <c r="C231" s="256" t="s">
        <v>243</v>
      </c>
      <c r="D231" s="256" t="s">
        <v>166</v>
      </c>
      <c r="E231" s="256" t="s">
        <v>455</v>
      </c>
      <c r="F231" s="256"/>
      <c r="G231" s="272">
        <f>G232</f>
        <v>37000</v>
      </c>
      <c r="H231" s="272">
        <f t="shared" si="10"/>
        <v>0</v>
      </c>
      <c r="I231" s="272">
        <f t="shared" si="10"/>
        <v>0</v>
      </c>
      <c r="J231" s="272">
        <f t="shared" si="10"/>
        <v>37000</v>
      </c>
    </row>
    <row r="232" spans="1:10" s="9" customFormat="1" ht="12.75">
      <c r="A232" s="23" t="s">
        <v>252</v>
      </c>
      <c r="B232" s="256" t="s">
        <v>145</v>
      </c>
      <c r="C232" s="256" t="s">
        <v>243</v>
      </c>
      <c r="D232" s="256" t="s">
        <v>166</v>
      </c>
      <c r="E232" s="256" t="s">
        <v>455</v>
      </c>
      <c r="F232" s="256" t="s">
        <v>129</v>
      </c>
      <c r="G232" s="64">
        <f>42000-5000</f>
        <v>37000</v>
      </c>
      <c r="H232" s="272">
        <v>0</v>
      </c>
      <c r="I232" s="272">
        <v>0</v>
      </c>
      <c r="J232" s="64">
        <f>G232-H232</f>
        <v>37000</v>
      </c>
    </row>
    <row r="233" spans="1:13" s="9" customFormat="1" ht="25.5">
      <c r="A233" s="22" t="s">
        <v>253</v>
      </c>
      <c r="B233" s="279" t="s">
        <v>145</v>
      </c>
      <c r="C233" s="279" t="s">
        <v>243</v>
      </c>
      <c r="D233" s="279" t="s">
        <v>148</v>
      </c>
      <c r="E233" s="279"/>
      <c r="F233" s="279"/>
      <c r="G233" s="59">
        <f aca="true" t="shared" si="11" ref="G233:J234">G234</f>
        <v>66585</v>
      </c>
      <c r="H233" s="313">
        <f t="shared" si="11"/>
        <v>62416</v>
      </c>
      <c r="I233" s="313">
        <f t="shared" si="11"/>
        <v>62416</v>
      </c>
      <c r="J233" s="313">
        <f t="shared" si="11"/>
        <v>4169</v>
      </c>
      <c r="K233" s="5"/>
      <c r="L233" s="5"/>
      <c r="M233" s="5"/>
    </row>
    <row r="234" spans="1:10" s="9" customFormat="1" ht="12.75">
      <c r="A234" s="23" t="s">
        <v>251</v>
      </c>
      <c r="B234" s="256" t="s">
        <v>145</v>
      </c>
      <c r="C234" s="256" t="s">
        <v>243</v>
      </c>
      <c r="D234" s="256" t="s">
        <v>148</v>
      </c>
      <c r="E234" s="256" t="s">
        <v>455</v>
      </c>
      <c r="F234" s="256"/>
      <c r="G234" s="64">
        <f t="shared" si="11"/>
        <v>66585</v>
      </c>
      <c r="H234" s="272">
        <f t="shared" si="11"/>
        <v>62416</v>
      </c>
      <c r="I234" s="272">
        <f t="shared" si="11"/>
        <v>62416</v>
      </c>
      <c r="J234" s="272">
        <f t="shared" si="11"/>
        <v>4169</v>
      </c>
    </row>
    <row r="235" spans="1:10" s="8" customFormat="1" ht="12.75">
      <c r="A235" s="23" t="s">
        <v>254</v>
      </c>
      <c r="B235" s="256" t="s">
        <v>145</v>
      </c>
      <c r="C235" s="256" t="s">
        <v>243</v>
      </c>
      <c r="D235" s="256" t="s">
        <v>148</v>
      </c>
      <c r="E235" s="256" t="s">
        <v>455</v>
      </c>
      <c r="F235" s="256" t="s">
        <v>129</v>
      </c>
      <c r="G235" s="64">
        <f>10000+56585</f>
        <v>66585</v>
      </c>
      <c r="H235" s="64">
        <v>62416</v>
      </c>
      <c r="I235" s="64">
        <f>H235</f>
        <v>62416</v>
      </c>
      <c r="J235" s="64">
        <f>G235-H235</f>
        <v>4169</v>
      </c>
    </row>
    <row r="236" spans="1:10" s="8" customFormat="1" ht="12.75">
      <c r="A236" s="23" t="s">
        <v>35</v>
      </c>
      <c r="B236" s="279" t="s">
        <v>145</v>
      </c>
      <c r="C236" s="279" t="s">
        <v>243</v>
      </c>
      <c r="D236" s="279" t="s">
        <v>370</v>
      </c>
      <c r="E236" s="279"/>
      <c r="F236" s="279"/>
      <c r="G236" s="59">
        <f>G238+G240+G242+G237+G241+G239</f>
        <v>175271</v>
      </c>
      <c r="H236" s="59">
        <f>H238+H240+H242+H237+H241+H239</f>
        <v>140836.87</v>
      </c>
      <c r="I236" s="59">
        <f>I238+I240+I242+I237+I241+I239</f>
        <v>138591</v>
      </c>
      <c r="J236" s="59">
        <f>J238+J240+J242+J237+J241+J239</f>
        <v>34434.13</v>
      </c>
    </row>
    <row r="237" spans="1:10" s="8" customFormat="1" ht="12.75">
      <c r="A237" s="23"/>
      <c r="B237" s="256" t="s">
        <v>145</v>
      </c>
      <c r="C237" s="256" t="s">
        <v>243</v>
      </c>
      <c r="D237" s="256" t="s">
        <v>370</v>
      </c>
      <c r="E237" s="256" t="s">
        <v>549</v>
      </c>
      <c r="F237" s="256" t="s">
        <v>389</v>
      </c>
      <c r="G237" s="64">
        <v>0</v>
      </c>
      <c r="H237" s="59">
        <v>0</v>
      </c>
      <c r="I237" s="59"/>
      <c r="J237" s="64">
        <f aca="true" t="shared" si="12" ref="J237:J242">G237-H237</f>
        <v>0</v>
      </c>
    </row>
    <row r="238" spans="1:11" s="8" customFormat="1" ht="12.75">
      <c r="A238" s="23" t="s">
        <v>388</v>
      </c>
      <c r="B238" s="256" t="s">
        <v>145</v>
      </c>
      <c r="C238" s="256" t="s">
        <v>368</v>
      </c>
      <c r="D238" s="256" t="s">
        <v>370</v>
      </c>
      <c r="E238" s="256" t="s">
        <v>460</v>
      </c>
      <c r="F238" s="256" t="s">
        <v>134</v>
      </c>
      <c r="G238" s="64">
        <f>93600-47880-14040</f>
        <v>31680</v>
      </c>
      <c r="H238" s="64"/>
      <c r="I238" s="64"/>
      <c r="J238" s="64">
        <f t="shared" si="12"/>
        <v>31680</v>
      </c>
      <c r="K238" s="150"/>
    </row>
    <row r="239" spans="1:10" s="8" customFormat="1" ht="12.75">
      <c r="A239" s="23"/>
      <c r="B239" s="256" t="s">
        <v>145</v>
      </c>
      <c r="C239" s="256" t="s">
        <v>368</v>
      </c>
      <c r="D239" s="256" t="s">
        <v>370</v>
      </c>
      <c r="E239" s="256" t="s">
        <v>460</v>
      </c>
      <c r="F239" s="256" t="s">
        <v>389</v>
      </c>
      <c r="G239" s="64">
        <v>5000</v>
      </c>
      <c r="H239" s="64">
        <v>2245.87</v>
      </c>
      <c r="I239" s="64"/>
      <c r="J239" s="64">
        <f t="shared" si="12"/>
        <v>2754.13</v>
      </c>
    </row>
    <row r="240" spans="1:10" s="8" customFormat="1" ht="12.75">
      <c r="A240" s="23" t="s">
        <v>390</v>
      </c>
      <c r="B240" s="256" t="s">
        <v>145</v>
      </c>
      <c r="C240" s="256" t="s">
        <v>243</v>
      </c>
      <c r="D240" s="256" t="s">
        <v>370</v>
      </c>
      <c r="E240" s="256" t="s">
        <v>454</v>
      </c>
      <c r="F240" s="256" t="s">
        <v>389</v>
      </c>
      <c r="G240" s="64">
        <v>0</v>
      </c>
      <c r="H240" s="64"/>
      <c r="I240" s="64"/>
      <c r="J240" s="64">
        <f t="shared" si="12"/>
        <v>0</v>
      </c>
    </row>
    <row r="241" spans="1:10" s="8" customFormat="1" ht="12.75">
      <c r="A241" s="23" t="s">
        <v>35</v>
      </c>
      <c r="B241" s="256" t="s">
        <v>145</v>
      </c>
      <c r="C241" s="256" t="s">
        <v>368</v>
      </c>
      <c r="D241" s="256" t="s">
        <v>370</v>
      </c>
      <c r="E241" s="256" t="s">
        <v>454</v>
      </c>
      <c r="F241" s="256" t="s">
        <v>389</v>
      </c>
      <c r="G241" s="64"/>
      <c r="H241" s="64"/>
      <c r="I241" s="64"/>
      <c r="J241" s="64">
        <f t="shared" si="12"/>
        <v>0</v>
      </c>
    </row>
    <row r="242" spans="1:10" s="8" customFormat="1" ht="12.75">
      <c r="A242" s="23" t="s">
        <v>35</v>
      </c>
      <c r="B242" s="256" t="s">
        <v>145</v>
      </c>
      <c r="C242" s="256" t="s">
        <v>368</v>
      </c>
      <c r="D242" s="256" t="s">
        <v>370</v>
      </c>
      <c r="E242" s="256" t="s">
        <v>619</v>
      </c>
      <c r="F242" s="256" t="s">
        <v>134</v>
      </c>
      <c r="G242" s="64">
        <f>47880+69000+21711</f>
        <v>138591</v>
      </c>
      <c r="H242" s="64">
        <f>47880+90711</f>
        <v>138591</v>
      </c>
      <c r="I242" s="64">
        <f>47880+90711</f>
        <v>138591</v>
      </c>
      <c r="J242" s="64">
        <f t="shared" si="12"/>
        <v>0</v>
      </c>
    </row>
    <row r="243" spans="1:10" s="8" customFormat="1" ht="12.75">
      <c r="A243" s="22"/>
      <c r="B243" s="279" t="s">
        <v>145</v>
      </c>
      <c r="C243" s="279" t="s">
        <v>255</v>
      </c>
      <c r="D243" s="279"/>
      <c r="E243" s="279"/>
      <c r="F243" s="279"/>
      <c r="G243" s="313">
        <f>G244</f>
        <v>800054.1</v>
      </c>
      <c r="H243" s="313">
        <f>H244</f>
        <v>502470</v>
      </c>
      <c r="I243" s="313">
        <f>I244</f>
        <v>686368.59</v>
      </c>
      <c r="J243" s="313">
        <f>J244</f>
        <v>297584.1</v>
      </c>
    </row>
    <row r="244" spans="1:10" s="8" customFormat="1" ht="25.5">
      <c r="A244" s="23" t="s">
        <v>237</v>
      </c>
      <c r="B244" s="279" t="s">
        <v>145</v>
      </c>
      <c r="C244" s="279" t="s">
        <v>255</v>
      </c>
      <c r="D244" s="279" t="s">
        <v>219</v>
      </c>
      <c r="E244" s="256"/>
      <c r="F244" s="256"/>
      <c r="G244" s="313">
        <f>G247+G251+G245+G250+G259+G260+G246</f>
        <v>800054.1</v>
      </c>
      <c r="H244" s="313">
        <f>H247+H251+H245+H250+H259+H260+H246</f>
        <v>502470</v>
      </c>
      <c r="I244" s="313">
        <f>I247+I251+I245+I250+I259+I260+I246</f>
        <v>686368.59</v>
      </c>
      <c r="J244" s="313">
        <f>J247+J251+J245+J250+J259+J260+J246</f>
        <v>297584.1</v>
      </c>
    </row>
    <row r="245" spans="1:11" s="8" customFormat="1" ht="25.5">
      <c r="A245" s="23" t="s">
        <v>540</v>
      </c>
      <c r="B245" s="256" t="s">
        <v>145</v>
      </c>
      <c r="C245" s="256" t="s">
        <v>448</v>
      </c>
      <c r="D245" s="256" t="s">
        <v>146</v>
      </c>
      <c r="E245" s="256" t="s">
        <v>21</v>
      </c>
      <c r="F245" s="256" t="s">
        <v>117</v>
      </c>
      <c r="G245" s="272">
        <f>98352-98352</f>
        <v>0</v>
      </c>
      <c r="H245" s="272"/>
      <c r="I245" s="272"/>
      <c r="J245" s="64">
        <f>G245-H245</f>
        <v>0</v>
      </c>
      <c r="K245" s="150"/>
    </row>
    <row r="246" spans="1:11" s="8" customFormat="1" ht="12.75">
      <c r="A246" s="23" t="s">
        <v>183</v>
      </c>
      <c r="B246" s="256" t="s">
        <v>145</v>
      </c>
      <c r="C246" s="256" t="s">
        <v>448</v>
      </c>
      <c r="D246" s="256" t="s">
        <v>146</v>
      </c>
      <c r="E246" s="256" t="s">
        <v>21</v>
      </c>
      <c r="F246" s="256" t="s">
        <v>117</v>
      </c>
      <c r="G246" s="272">
        <f>55294.1+70686+70686-84694</f>
        <v>111972.1</v>
      </c>
      <c r="H246" s="272">
        <v>11058.82</v>
      </c>
      <c r="I246" s="272">
        <f>55294.1+56678</f>
        <v>111972.1</v>
      </c>
      <c r="J246" s="64">
        <f>G246-H246</f>
        <v>100913.28</v>
      </c>
      <c r="K246" s="150"/>
    </row>
    <row r="247" spans="1:10" s="8" customFormat="1" ht="12.75">
      <c r="A247" s="90" t="s">
        <v>29</v>
      </c>
      <c r="B247" s="281" t="s">
        <v>145</v>
      </c>
      <c r="C247" s="256" t="s">
        <v>448</v>
      </c>
      <c r="D247" s="281" t="s">
        <v>146</v>
      </c>
      <c r="E247" s="281" t="s">
        <v>30</v>
      </c>
      <c r="F247" s="281"/>
      <c r="G247" s="283">
        <f>G249+G248</f>
        <v>252242</v>
      </c>
      <c r="H247" s="283">
        <f>H249+H248</f>
        <v>92820.7</v>
      </c>
      <c r="I247" s="283">
        <f>I249+I248</f>
        <v>165562.7</v>
      </c>
      <c r="J247" s="283">
        <f>J249+J248</f>
        <v>159421.3</v>
      </c>
    </row>
    <row r="248" spans="1:11" s="8" customFormat="1" ht="12.75">
      <c r="A248" s="23" t="s">
        <v>572</v>
      </c>
      <c r="B248" s="256" t="s">
        <v>145</v>
      </c>
      <c r="C248" s="256" t="s">
        <v>448</v>
      </c>
      <c r="D248" s="256" t="s">
        <v>146</v>
      </c>
      <c r="E248" s="256" t="s">
        <v>30</v>
      </c>
      <c r="F248" s="256" t="s">
        <v>128</v>
      </c>
      <c r="G248" s="64">
        <f>35000+72742+72742-72742</f>
        <v>107742</v>
      </c>
      <c r="H248" s="64">
        <v>0</v>
      </c>
      <c r="I248" s="64">
        <f>72742</f>
        <v>72742</v>
      </c>
      <c r="J248" s="64">
        <f>G248-H248</f>
        <v>107742</v>
      </c>
      <c r="K248" s="197"/>
    </row>
    <row r="249" spans="1:11" s="8" customFormat="1" ht="25.5">
      <c r="A249" s="69" t="s">
        <v>112</v>
      </c>
      <c r="B249" s="256" t="s">
        <v>145</v>
      </c>
      <c r="C249" s="256" t="s">
        <v>448</v>
      </c>
      <c r="D249" s="256" t="s">
        <v>146</v>
      </c>
      <c r="E249" s="256" t="s">
        <v>30</v>
      </c>
      <c r="F249" s="256" t="s">
        <v>116</v>
      </c>
      <c r="G249" s="64">
        <f>326000-107000-69000-5500</f>
        <v>144500</v>
      </c>
      <c r="H249" s="64">
        <f>82020.7+10800</f>
        <v>92820.7</v>
      </c>
      <c r="I249" s="64">
        <f>82020.7+10800</f>
        <v>92820.7</v>
      </c>
      <c r="J249" s="64">
        <f>G249-H249</f>
        <v>51679.3</v>
      </c>
      <c r="K249" s="150"/>
    </row>
    <row r="250" spans="1:11" s="8" customFormat="1" ht="12.75">
      <c r="A250" s="69" t="s">
        <v>138</v>
      </c>
      <c r="B250" s="256" t="s">
        <v>145</v>
      </c>
      <c r="C250" s="256" t="s">
        <v>448</v>
      </c>
      <c r="D250" s="256" t="s">
        <v>146</v>
      </c>
      <c r="E250" s="256" t="s">
        <v>553</v>
      </c>
      <c r="F250" s="256" t="s">
        <v>131</v>
      </c>
      <c r="G250" s="64">
        <v>0</v>
      </c>
      <c r="H250" s="64"/>
      <c r="I250" s="64"/>
      <c r="J250" s="64">
        <f>G250-H250</f>
        <v>0</v>
      </c>
      <c r="K250" s="195"/>
    </row>
    <row r="251" spans="1:11" s="8" customFormat="1" ht="12.75">
      <c r="A251" s="160"/>
      <c r="B251" s="297" t="s">
        <v>145</v>
      </c>
      <c r="C251" s="297" t="s">
        <v>448</v>
      </c>
      <c r="D251" s="297" t="s">
        <v>146</v>
      </c>
      <c r="E251" s="297" t="s">
        <v>42</v>
      </c>
      <c r="F251" s="297"/>
      <c r="G251" s="300">
        <f>G258+G256+G254+G252+G257+G255+G253</f>
        <v>228440</v>
      </c>
      <c r="H251" s="300">
        <f>H258+H256+H254+H252+H257+H255+H253</f>
        <v>191190.48</v>
      </c>
      <c r="I251" s="300">
        <f>I258+I256+I254+I252+I257+I255+I253</f>
        <v>201433.79</v>
      </c>
      <c r="J251" s="300">
        <f>J258+J256+J254+J252+J257+J255+J253</f>
        <v>37249.51999999999</v>
      </c>
      <c r="K251" s="150"/>
    </row>
    <row r="252" spans="1:11" s="8" customFormat="1" ht="25.5">
      <c r="A252" s="69" t="s">
        <v>541</v>
      </c>
      <c r="B252" s="256" t="s">
        <v>145</v>
      </c>
      <c r="C252" s="256" t="s">
        <v>448</v>
      </c>
      <c r="D252" s="256" t="s">
        <v>146</v>
      </c>
      <c r="E252" s="256" t="s">
        <v>511</v>
      </c>
      <c r="F252" s="256" t="s">
        <v>491</v>
      </c>
      <c r="G252" s="64">
        <f>250836-250836</f>
        <v>0</v>
      </c>
      <c r="H252" s="64"/>
      <c r="I252" s="64"/>
      <c r="J252" s="64">
        <f aca="true" t="shared" si="13" ref="J252:J260">G252-H252</f>
        <v>0</v>
      </c>
      <c r="K252" s="150"/>
    </row>
    <row r="253" spans="1:12" s="8" customFormat="1" ht="25.5">
      <c r="A253" s="69" t="s">
        <v>541</v>
      </c>
      <c r="B253" s="256" t="s">
        <v>145</v>
      </c>
      <c r="C253" s="256" t="s">
        <v>448</v>
      </c>
      <c r="D253" s="256" t="s">
        <v>146</v>
      </c>
      <c r="E253" s="256" t="s">
        <v>563</v>
      </c>
      <c r="F253" s="256" t="s">
        <v>491</v>
      </c>
      <c r="G253" s="64">
        <v>0</v>
      </c>
      <c r="H253" s="64"/>
      <c r="I253" s="64"/>
      <c r="J253" s="64">
        <f t="shared" si="13"/>
        <v>0</v>
      </c>
      <c r="K253" s="195"/>
      <c r="L253" s="196"/>
    </row>
    <row r="254" spans="1:11" s="8" customFormat="1" ht="25.5">
      <c r="A254" s="69" t="s">
        <v>542</v>
      </c>
      <c r="B254" s="256" t="s">
        <v>145</v>
      </c>
      <c r="C254" s="256" t="s">
        <v>448</v>
      </c>
      <c r="D254" s="256" t="s">
        <v>146</v>
      </c>
      <c r="E254" s="256" t="s">
        <v>499</v>
      </c>
      <c r="F254" s="256" t="s">
        <v>165</v>
      </c>
      <c r="G254" s="64">
        <f>329560+20440-350000</f>
        <v>0</v>
      </c>
      <c r="H254" s="64"/>
      <c r="I254" s="64"/>
      <c r="J254" s="64">
        <f t="shared" si="13"/>
        <v>0</v>
      </c>
      <c r="K254" s="150"/>
    </row>
    <row r="255" spans="1:11" s="8" customFormat="1" ht="12.75">
      <c r="A255" s="69" t="s">
        <v>562</v>
      </c>
      <c r="B255" s="256" t="s">
        <v>145</v>
      </c>
      <c r="C255" s="256" t="s">
        <v>448</v>
      </c>
      <c r="D255" s="256" t="s">
        <v>146</v>
      </c>
      <c r="E255" s="256" t="s">
        <v>564</v>
      </c>
      <c r="F255" s="256" t="s">
        <v>377</v>
      </c>
      <c r="G255" s="64">
        <v>0</v>
      </c>
      <c r="H255" s="64"/>
      <c r="I255" s="64"/>
      <c r="J255" s="64">
        <f t="shared" si="13"/>
        <v>0</v>
      </c>
      <c r="K255" s="150"/>
    </row>
    <row r="256" spans="1:19" s="8" customFormat="1" ht="12.75">
      <c r="A256" s="69" t="s">
        <v>598</v>
      </c>
      <c r="B256" s="256" t="s">
        <v>145</v>
      </c>
      <c r="C256" s="256" t="s">
        <v>448</v>
      </c>
      <c r="D256" s="256" t="s">
        <v>146</v>
      </c>
      <c r="E256" s="256" t="s">
        <v>497</v>
      </c>
      <c r="F256" s="256" t="s">
        <v>133</v>
      </c>
      <c r="G256" s="64">
        <f>160000+10000+10000-10000</f>
        <v>170000</v>
      </c>
      <c r="H256" s="64">
        <v>154554.29</v>
      </c>
      <c r="I256" s="64">
        <f>45597.6+109200+10000</f>
        <v>164797.6</v>
      </c>
      <c r="J256" s="64">
        <f t="shared" si="13"/>
        <v>15445.709999999992</v>
      </c>
      <c r="K256" s="150"/>
      <c r="M256" s="150"/>
      <c r="O256" s="140"/>
      <c r="P256" s="140"/>
      <c r="Q256" s="140"/>
      <c r="R256" s="140"/>
      <c r="S256" s="140"/>
    </row>
    <row r="257" spans="1:19" s="8" customFormat="1" ht="25.5">
      <c r="A257" s="69" t="s">
        <v>543</v>
      </c>
      <c r="B257" s="256" t="s">
        <v>145</v>
      </c>
      <c r="C257" s="256" t="s">
        <v>448</v>
      </c>
      <c r="D257" s="256" t="s">
        <v>146</v>
      </c>
      <c r="E257" s="256" t="s">
        <v>554</v>
      </c>
      <c r="F257" s="256" t="s">
        <v>133</v>
      </c>
      <c r="G257" s="64">
        <v>0</v>
      </c>
      <c r="H257" s="64"/>
      <c r="I257" s="64"/>
      <c r="J257" s="64">
        <f t="shared" si="13"/>
        <v>0</v>
      </c>
      <c r="K257" s="150"/>
      <c r="M257" s="150"/>
      <c r="O257" s="140"/>
      <c r="P257" s="140"/>
      <c r="Q257" s="140"/>
      <c r="R257" s="140"/>
      <c r="S257" s="140"/>
    </row>
    <row r="258" spans="1:11" s="8" customFormat="1" ht="12.75">
      <c r="A258" s="23" t="s">
        <v>194</v>
      </c>
      <c r="B258" s="256" t="s">
        <v>145</v>
      </c>
      <c r="C258" s="256" t="s">
        <v>448</v>
      </c>
      <c r="D258" s="256" t="s">
        <v>146</v>
      </c>
      <c r="E258" s="256" t="s">
        <v>498</v>
      </c>
      <c r="F258" s="256" t="s">
        <v>130</v>
      </c>
      <c r="G258" s="64">
        <f>154040-75000-20600</f>
        <v>58440</v>
      </c>
      <c r="H258" s="64">
        <v>36636.19</v>
      </c>
      <c r="I258" s="64">
        <v>36636.19</v>
      </c>
      <c r="J258" s="64">
        <f t="shared" si="13"/>
        <v>21803.809999999998</v>
      </c>
      <c r="K258" s="150"/>
    </row>
    <row r="259" spans="1:11" s="8" customFormat="1" ht="12.75">
      <c r="A259" s="23" t="s">
        <v>138</v>
      </c>
      <c r="B259" s="256" t="s">
        <v>145</v>
      </c>
      <c r="C259" s="256" t="s">
        <v>448</v>
      </c>
      <c r="D259" s="256" t="s">
        <v>146</v>
      </c>
      <c r="E259" s="256" t="s">
        <v>616</v>
      </c>
      <c r="F259" s="256" t="s">
        <v>131</v>
      </c>
      <c r="G259" s="64">
        <v>62680</v>
      </c>
      <c r="H259" s="64">
        <v>62680</v>
      </c>
      <c r="I259" s="64">
        <v>62680</v>
      </c>
      <c r="J259" s="64">
        <f t="shared" si="13"/>
        <v>0</v>
      </c>
      <c r="K259" s="150"/>
    </row>
    <row r="260" spans="1:11" s="8" customFormat="1" ht="12.75">
      <c r="A260" s="23" t="s">
        <v>182</v>
      </c>
      <c r="B260" s="256" t="s">
        <v>145</v>
      </c>
      <c r="C260" s="256" t="s">
        <v>448</v>
      </c>
      <c r="D260" s="256" t="s">
        <v>146</v>
      </c>
      <c r="E260" s="256" t="s">
        <v>617</v>
      </c>
      <c r="F260" s="256" t="s">
        <v>133</v>
      </c>
      <c r="G260" s="64">
        <v>144720</v>
      </c>
      <c r="H260" s="64">
        <v>144720</v>
      </c>
      <c r="I260" s="64">
        <v>144720</v>
      </c>
      <c r="J260" s="64">
        <f t="shared" si="13"/>
        <v>0</v>
      </c>
      <c r="K260" s="150"/>
    </row>
    <row r="261" spans="1:11" s="8" customFormat="1" ht="12.75">
      <c r="A261" s="23"/>
      <c r="B261" s="256" t="s">
        <v>145</v>
      </c>
      <c r="C261" s="256" t="s">
        <v>448</v>
      </c>
      <c r="D261" s="256" t="s">
        <v>370</v>
      </c>
      <c r="E261" s="256" t="s">
        <v>454</v>
      </c>
      <c r="F261" s="256" t="s">
        <v>389</v>
      </c>
      <c r="G261" s="64">
        <v>14040</v>
      </c>
      <c r="H261" s="64">
        <v>14040</v>
      </c>
      <c r="I261" s="64">
        <v>14040</v>
      </c>
      <c r="J261" s="64">
        <f>G261-H261</f>
        <v>0</v>
      </c>
      <c r="K261" s="150"/>
    </row>
    <row r="262" spans="1:11" s="9" customFormat="1" ht="12.75">
      <c r="A262" s="34" t="s">
        <v>176</v>
      </c>
      <c r="B262" s="247"/>
      <c r="C262" s="247"/>
      <c r="D262" s="247"/>
      <c r="E262" s="247"/>
      <c r="F262" s="247"/>
      <c r="G262" s="52">
        <f>G263</f>
        <v>6454495.5</v>
      </c>
      <c r="H262" s="52">
        <f>H263</f>
        <v>6415486.75</v>
      </c>
      <c r="I262" s="52">
        <f>I263</f>
        <v>6858738.87</v>
      </c>
      <c r="J262" s="52">
        <f>J263</f>
        <v>39008.75</v>
      </c>
      <c r="K262" s="191">
        <f>G262-H262</f>
        <v>39008.75</v>
      </c>
    </row>
    <row r="263" spans="1:10" s="8" customFormat="1" ht="12.75">
      <c r="A263" s="58" t="s">
        <v>171</v>
      </c>
      <c r="B263" s="251" t="s">
        <v>177</v>
      </c>
      <c r="C263" s="251" t="s">
        <v>213</v>
      </c>
      <c r="D263" s="251"/>
      <c r="E263" s="251"/>
      <c r="F263" s="251"/>
      <c r="G263" s="59">
        <f>G264+G294+G296+G295++G297+G298</f>
        <v>6454495.5</v>
      </c>
      <c r="H263" s="59">
        <f>H264+H294+H296+H295++H297+H298</f>
        <v>6415486.75</v>
      </c>
      <c r="I263" s="59">
        <f>I264+I294+I296+I295++I297+I298</f>
        <v>6858738.87</v>
      </c>
      <c r="J263" s="59">
        <f>J264+J294+J296+J295++J297+J298</f>
        <v>39008.75</v>
      </c>
    </row>
    <row r="264" spans="1:10" s="9" customFormat="1" ht="51">
      <c r="A264" s="22" t="s">
        <v>258</v>
      </c>
      <c r="B264" s="279" t="s">
        <v>177</v>
      </c>
      <c r="C264" s="279" t="s">
        <v>259</v>
      </c>
      <c r="D264" s="279"/>
      <c r="E264" s="279"/>
      <c r="F264" s="279"/>
      <c r="G264" s="313">
        <f>G265+G277+G275+G276+G293</f>
        <v>3641300</v>
      </c>
      <c r="H264" s="313">
        <f>H265+H277+H275+H276+H293</f>
        <v>3641300</v>
      </c>
      <c r="I264" s="313">
        <f>I265+I277+I275+I276+I293</f>
        <v>3654617.87</v>
      </c>
      <c r="J264" s="313">
        <f>J265+J277+J275+J276+J293</f>
        <v>0</v>
      </c>
    </row>
    <row r="265" spans="1:10" s="77" customFormat="1" ht="38.25">
      <c r="A265" s="103" t="s">
        <v>232</v>
      </c>
      <c r="B265" s="323" t="s">
        <v>177</v>
      </c>
      <c r="C265" s="323" t="s">
        <v>259</v>
      </c>
      <c r="D265" s="323" t="s">
        <v>233</v>
      </c>
      <c r="E265" s="323"/>
      <c r="F265" s="323"/>
      <c r="G265" s="319">
        <f>G266</f>
        <v>3061118.8</v>
      </c>
      <c r="H265" s="319">
        <f>H266</f>
        <v>3061118.8</v>
      </c>
      <c r="I265" s="319">
        <f>I266+I270+I273+I271</f>
        <v>2865383.84</v>
      </c>
      <c r="J265" s="319">
        <f>J266+J270+J273+J271</f>
        <v>0</v>
      </c>
    </row>
    <row r="266" spans="1:10" s="77" customFormat="1" ht="25.5">
      <c r="A266" s="103" t="s">
        <v>228</v>
      </c>
      <c r="B266" s="323" t="s">
        <v>177</v>
      </c>
      <c r="C266" s="323" t="s">
        <v>259</v>
      </c>
      <c r="D266" s="323" t="s">
        <v>40</v>
      </c>
      <c r="E266" s="323"/>
      <c r="F266" s="323"/>
      <c r="G266" s="319">
        <f>G267+G268+G269+G270+G271+G273+G274+G272</f>
        <v>3061118.8</v>
      </c>
      <c r="H266" s="319">
        <f>H267+H268+H269+H270+H271+H273+H274+H272</f>
        <v>3061118.8</v>
      </c>
      <c r="I266" s="319">
        <f>I267+I268+I269+I270+I271+I273+I274+I272</f>
        <v>2627792.8</v>
      </c>
      <c r="J266" s="319">
        <f>J267+J268+J269+J270+J271+J273+J274+J272</f>
        <v>0</v>
      </c>
    </row>
    <row r="267" spans="1:11" s="77" customFormat="1" ht="12.75">
      <c r="A267" s="102" t="s">
        <v>8</v>
      </c>
      <c r="B267" s="320" t="s">
        <v>177</v>
      </c>
      <c r="C267" s="320" t="s">
        <v>259</v>
      </c>
      <c r="D267" s="320" t="s">
        <v>40</v>
      </c>
      <c r="E267" s="320" t="s">
        <v>9</v>
      </c>
      <c r="F267" s="320"/>
      <c r="G267" s="64">
        <v>2082889.18</v>
      </c>
      <c r="H267" s="307">
        <v>2082889.18</v>
      </c>
      <c r="I267" s="307">
        <v>1758845.27</v>
      </c>
      <c r="J267" s="272">
        <f aca="true" t="shared" si="14" ref="J267:J274">G267-H267</f>
        <v>0</v>
      </c>
      <c r="K267" s="190"/>
    </row>
    <row r="268" spans="1:10" s="77" customFormat="1" ht="12.75">
      <c r="A268" s="102" t="s">
        <v>13</v>
      </c>
      <c r="B268" s="320" t="s">
        <v>177</v>
      </c>
      <c r="C268" s="320" t="s">
        <v>259</v>
      </c>
      <c r="D268" s="320" t="s">
        <v>509</v>
      </c>
      <c r="E268" s="320" t="s">
        <v>14</v>
      </c>
      <c r="F268" s="320"/>
      <c r="G268" s="64">
        <v>650216.38</v>
      </c>
      <c r="H268" s="307">
        <v>650216.38</v>
      </c>
      <c r="I268" s="307">
        <v>546609.29</v>
      </c>
      <c r="J268" s="272">
        <f t="shared" si="14"/>
        <v>0</v>
      </c>
    </row>
    <row r="269" spans="1:10" s="77" customFormat="1" ht="12.75">
      <c r="A269" s="102"/>
      <c r="B269" s="320" t="s">
        <v>177</v>
      </c>
      <c r="C269" s="320" t="s">
        <v>259</v>
      </c>
      <c r="D269" s="320" t="s">
        <v>40</v>
      </c>
      <c r="E269" s="320" t="s">
        <v>510</v>
      </c>
      <c r="F269" s="320"/>
      <c r="G269" s="64">
        <f>5119.25+46000-39434.85</f>
        <v>11684.400000000001</v>
      </c>
      <c r="H269" s="307">
        <v>11684.4</v>
      </c>
      <c r="I269" s="307">
        <v>11684.4</v>
      </c>
      <c r="J269" s="272">
        <f t="shared" si="14"/>
        <v>0</v>
      </c>
    </row>
    <row r="270" spans="1:10" s="77" customFormat="1" ht="12.75">
      <c r="A270" s="102" t="s">
        <v>178</v>
      </c>
      <c r="B270" s="320" t="s">
        <v>177</v>
      </c>
      <c r="C270" s="320" t="s">
        <v>259</v>
      </c>
      <c r="D270" s="320" t="s">
        <v>43</v>
      </c>
      <c r="E270" s="320" t="s">
        <v>500</v>
      </c>
      <c r="F270" s="320" t="s">
        <v>97</v>
      </c>
      <c r="G270" s="64">
        <v>240546.04</v>
      </c>
      <c r="H270" s="307">
        <v>240546.04</v>
      </c>
      <c r="I270" s="307">
        <v>234021.04</v>
      </c>
      <c r="J270" s="272">
        <f t="shared" si="14"/>
        <v>0</v>
      </c>
    </row>
    <row r="271" spans="1:10" s="77" customFormat="1" ht="12.75">
      <c r="A271" s="102"/>
      <c r="B271" s="320" t="s">
        <v>177</v>
      </c>
      <c r="C271" s="320" t="s">
        <v>259</v>
      </c>
      <c r="D271" s="320" t="s">
        <v>43</v>
      </c>
      <c r="E271" s="320" t="s">
        <v>500</v>
      </c>
      <c r="F271" s="320" t="s">
        <v>117</v>
      </c>
      <c r="G271" s="64">
        <v>0</v>
      </c>
      <c r="H271" s="307"/>
      <c r="I271" s="307"/>
      <c r="J271" s="272">
        <f t="shared" si="14"/>
        <v>0</v>
      </c>
    </row>
    <row r="272" spans="1:10" s="77" customFormat="1" ht="12.75">
      <c r="A272" s="102" t="s">
        <v>635</v>
      </c>
      <c r="B272" s="320" t="s">
        <v>177</v>
      </c>
      <c r="C272" s="320" t="s">
        <v>259</v>
      </c>
      <c r="D272" s="320" t="s">
        <v>43</v>
      </c>
      <c r="E272" s="320" t="s">
        <v>500</v>
      </c>
      <c r="F272" s="320" t="s">
        <v>117</v>
      </c>
      <c r="G272" s="64">
        <f>19665+1097.8</f>
        <v>20762.8</v>
      </c>
      <c r="H272" s="307">
        <v>20762.8</v>
      </c>
      <c r="I272" s="307">
        <v>20762.8</v>
      </c>
      <c r="J272" s="272">
        <f t="shared" si="14"/>
        <v>0</v>
      </c>
    </row>
    <row r="273" spans="1:10" s="77" customFormat="1" ht="25.5">
      <c r="A273" s="102" t="s">
        <v>547</v>
      </c>
      <c r="B273" s="320" t="s">
        <v>177</v>
      </c>
      <c r="C273" s="320" t="s">
        <v>259</v>
      </c>
      <c r="D273" s="320" t="s">
        <v>43</v>
      </c>
      <c r="E273" s="320" t="s">
        <v>10</v>
      </c>
      <c r="F273" s="320" t="s">
        <v>99</v>
      </c>
      <c r="G273" s="64">
        <v>2720</v>
      </c>
      <c r="H273" s="307">
        <v>2720</v>
      </c>
      <c r="I273" s="307">
        <v>3570</v>
      </c>
      <c r="J273" s="272">
        <f t="shared" si="14"/>
        <v>0</v>
      </c>
    </row>
    <row r="274" spans="1:10" s="77" customFormat="1" ht="38.25">
      <c r="A274" s="69" t="s">
        <v>548</v>
      </c>
      <c r="B274" s="252" t="s">
        <v>468</v>
      </c>
      <c r="C274" s="252" t="s">
        <v>259</v>
      </c>
      <c r="D274" s="252" t="s">
        <v>43</v>
      </c>
      <c r="E274" s="252" t="s">
        <v>30</v>
      </c>
      <c r="F274" s="252" t="s">
        <v>99</v>
      </c>
      <c r="G274" s="64">
        <v>52300</v>
      </c>
      <c r="H274" s="307">
        <v>52300</v>
      </c>
      <c r="I274" s="307">
        <f>H274</f>
        <v>52300</v>
      </c>
      <c r="J274" s="272">
        <f t="shared" si="14"/>
        <v>0</v>
      </c>
    </row>
    <row r="275" spans="1:10" s="77" customFormat="1" ht="12.75">
      <c r="A275" s="69"/>
      <c r="B275" s="252" t="s">
        <v>468</v>
      </c>
      <c r="C275" s="252" t="s">
        <v>259</v>
      </c>
      <c r="D275" s="252" t="s">
        <v>43</v>
      </c>
      <c r="E275" s="252" t="s">
        <v>497</v>
      </c>
      <c r="F275" s="252" t="s">
        <v>133</v>
      </c>
      <c r="G275" s="64"/>
      <c r="H275" s="307"/>
      <c r="I275" s="307"/>
      <c r="J275" s="272"/>
    </row>
    <row r="276" spans="1:10" s="77" customFormat="1" ht="12.75">
      <c r="A276" s="69"/>
      <c r="B276" s="252" t="s">
        <v>468</v>
      </c>
      <c r="C276" s="252" t="s">
        <v>259</v>
      </c>
      <c r="D276" s="252" t="s">
        <v>43</v>
      </c>
      <c r="E276" s="252" t="s">
        <v>498</v>
      </c>
      <c r="F276" s="252" t="s">
        <v>130</v>
      </c>
      <c r="G276" s="64"/>
      <c r="H276" s="307"/>
      <c r="I276" s="307"/>
      <c r="J276" s="272"/>
    </row>
    <row r="277" spans="1:10" s="77" customFormat="1" ht="25.5">
      <c r="A277" s="103" t="s">
        <v>237</v>
      </c>
      <c r="B277" s="323" t="s">
        <v>177</v>
      </c>
      <c r="C277" s="323" t="s">
        <v>259</v>
      </c>
      <c r="D277" s="323" t="s">
        <v>219</v>
      </c>
      <c r="E277" s="323"/>
      <c r="F277" s="323"/>
      <c r="G277" s="319">
        <f>G284+G283+G280+G282+G278+G281+G279</f>
        <v>580181.2000000001</v>
      </c>
      <c r="H277" s="319">
        <f>H284+H283+H280+H282+H278+H281+H279</f>
        <v>580181.2000000001</v>
      </c>
      <c r="I277" s="319">
        <f>I284+I283+I280+I282+I278+I281+I279</f>
        <v>789234.03</v>
      </c>
      <c r="J277" s="319">
        <f>J284+J283+J280+J282+J278+J281+J279</f>
        <v>0</v>
      </c>
    </row>
    <row r="278" spans="1:10" s="77" customFormat="1" ht="12.75">
      <c r="A278" s="102" t="s">
        <v>609</v>
      </c>
      <c r="B278" s="252" t="s">
        <v>177</v>
      </c>
      <c r="C278" s="252" t="s">
        <v>259</v>
      </c>
      <c r="D278" s="252" t="s">
        <v>62</v>
      </c>
      <c r="E278" s="252" t="s">
        <v>19</v>
      </c>
      <c r="F278" s="252"/>
      <c r="G278" s="307">
        <v>16534.68</v>
      </c>
      <c r="H278" s="307">
        <v>16534.68</v>
      </c>
      <c r="I278" s="307">
        <v>16534.68</v>
      </c>
      <c r="J278" s="307">
        <f>G278-H278</f>
        <v>0</v>
      </c>
    </row>
    <row r="279" spans="1:10" s="77" customFormat="1" ht="25.5">
      <c r="A279" s="102" t="s">
        <v>631</v>
      </c>
      <c r="B279" s="252" t="s">
        <v>177</v>
      </c>
      <c r="C279" s="252" t="s">
        <v>259</v>
      </c>
      <c r="D279" s="252" t="s">
        <v>146</v>
      </c>
      <c r="E279" s="252" t="s">
        <v>21</v>
      </c>
      <c r="F279" s="252" t="s">
        <v>117</v>
      </c>
      <c r="G279" s="307">
        <f>19665-19665</f>
        <v>0</v>
      </c>
      <c r="H279" s="307"/>
      <c r="I279" s="307"/>
      <c r="J279" s="307">
        <f>G279-H279</f>
        <v>0</v>
      </c>
    </row>
    <row r="280" spans="1:10" s="77" customFormat="1" ht="12.75">
      <c r="A280" s="69" t="s">
        <v>608</v>
      </c>
      <c r="B280" s="252" t="s">
        <v>177</v>
      </c>
      <c r="C280" s="252" t="s">
        <v>259</v>
      </c>
      <c r="D280" s="252" t="s">
        <v>62</v>
      </c>
      <c r="E280" s="252" t="s">
        <v>30</v>
      </c>
      <c r="F280" s="252" t="s">
        <v>127</v>
      </c>
      <c r="G280" s="307">
        <f>91200+14464.15</f>
        <v>105664.15</v>
      </c>
      <c r="H280" s="307">
        <f>64466.65+22242.5+18955</f>
        <v>105664.15</v>
      </c>
      <c r="I280" s="307">
        <f>64466.65+22242.5+18955</f>
        <v>105664.15</v>
      </c>
      <c r="J280" s="307">
        <f>G280-H280</f>
        <v>0</v>
      </c>
    </row>
    <row r="281" spans="1:10" s="77" customFormat="1" ht="12.75">
      <c r="A281" s="69" t="s">
        <v>607</v>
      </c>
      <c r="B281" s="252" t="s">
        <v>177</v>
      </c>
      <c r="C281" s="252" t="s">
        <v>259</v>
      </c>
      <c r="D281" s="252" t="s">
        <v>62</v>
      </c>
      <c r="E281" s="252" t="s">
        <v>30</v>
      </c>
      <c r="F281" s="252" t="s">
        <v>128</v>
      </c>
      <c r="G281" s="307">
        <f>77234.68-77234.68</f>
        <v>0</v>
      </c>
      <c r="H281" s="307"/>
      <c r="I281" s="307"/>
      <c r="J281" s="307"/>
    </row>
    <row r="282" spans="1:10" s="77" customFormat="1" ht="12.75">
      <c r="A282" s="69" t="s">
        <v>138</v>
      </c>
      <c r="B282" s="252" t="s">
        <v>177</v>
      </c>
      <c r="C282" s="252" t="s">
        <v>259</v>
      </c>
      <c r="D282" s="252" t="s">
        <v>62</v>
      </c>
      <c r="E282" s="252" t="s">
        <v>39</v>
      </c>
      <c r="F282" s="252" t="s">
        <v>131</v>
      </c>
      <c r="G282" s="307">
        <v>141000</v>
      </c>
      <c r="H282" s="307">
        <v>141000</v>
      </c>
      <c r="I282" s="307">
        <f>141000+121400</f>
        <v>262400</v>
      </c>
      <c r="J282" s="307">
        <f>G282-H282</f>
        <v>0</v>
      </c>
    </row>
    <row r="283" spans="1:10" s="77" customFormat="1" ht="12.75">
      <c r="A283" s="69" t="s">
        <v>182</v>
      </c>
      <c r="B283" s="252" t="s">
        <v>177</v>
      </c>
      <c r="C283" s="252" t="s">
        <v>259</v>
      </c>
      <c r="D283" s="252" t="s">
        <v>62</v>
      </c>
      <c r="E283" s="252" t="s">
        <v>497</v>
      </c>
      <c r="F283" s="252" t="s">
        <v>133</v>
      </c>
      <c r="G283" s="307">
        <v>131742</v>
      </c>
      <c r="H283" s="64">
        <v>131742</v>
      </c>
      <c r="I283" s="307">
        <f>2450+48700+80592+65400+6000</f>
        <v>203142</v>
      </c>
      <c r="J283" s="307">
        <f>G283-H283</f>
        <v>0</v>
      </c>
    </row>
    <row r="284" spans="1:10" s="77" customFormat="1" ht="25.5">
      <c r="A284" s="103" t="s">
        <v>226</v>
      </c>
      <c r="B284" s="323" t="s">
        <v>177</v>
      </c>
      <c r="C284" s="323" t="s">
        <v>259</v>
      </c>
      <c r="D284" s="323" t="s">
        <v>146</v>
      </c>
      <c r="E284" s="323"/>
      <c r="F284" s="320"/>
      <c r="G284" s="319">
        <f>G286+G288+G292+G287+G291+G289+G285+G290</f>
        <v>185240.37</v>
      </c>
      <c r="H284" s="319">
        <f>H286+H288+H292+H287+H291+H289+H285+H290</f>
        <v>185240.37</v>
      </c>
      <c r="I284" s="319">
        <f>I286+I288+I292+I287+I291+I289+I285+I290</f>
        <v>201493.2</v>
      </c>
      <c r="J284" s="319">
        <f>J286+J288+J292+J287+J291+J289+J285+J290</f>
        <v>0</v>
      </c>
    </row>
    <row r="285" spans="1:10" s="77" customFormat="1" ht="12.75">
      <c r="A285" s="102" t="s">
        <v>569</v>
      </c>
      <c r="B285" s="252" t="s">
        <v>177</v>
      </c>
      <c r="C285" s="252" t="s">
        <v>259</v>
      </c>
      <c r="D285" s="252" t="s">
        <v>146</v>
      </c>
      <c r="E285" s="252" t="s">
        <v>27</v>
      </c>
      <c r="F285" s="252" t="s">
        <v>124</v>
      </c>
      <c r="G285" s="307">
        <v>0</v>
      </c>
      <c r="H285" s="307"/>
      <c r="I285" s="307"/>
      <c r="J285" s="272">
        <f>G285-H285</f>
        <v>0</v>
      </c>
    </row>
    <row r="286" spans="1:10" s="9" customFormat="1" ht="12.75">
      <c r="A286" s="69" t="s">
        <v>179</v>
      </c>
      <c r="B286" s="252" t="s">
        <v>177</v>
      </c>
      <c r="C286" s="252" t="s">
        <v>259</v>
      </c>
      <c r="D286" s="252" t="s">
        <v>146</v>
      </c>
      <c r="E286" s="252" t="s">
        <v>30</v>
      </c>
      <c r="F286" s="252" t="s">
        <v>99</v>
      </c>
      <c r="G286" s="64"/>
      <c r="H286" s="64"/>
      <c r="I286" s="64"/>
      <c r="J286" s="272">
        <f>G286-H286</f>
        <v>0</v>
      </c>
    </row>
    <row r="287" spans="1:10" s="9" customFormat="1" ht="12.75">
      <c r="A287" s="69"/>
      <c r="B287" s="252" t="s">
        <v>177</v>
      </c>
      <c r="C287" s="252" t="s">
        <v>259</v>
      </c>
      <c r="D287" s="252" t="s">
        <v>146</v>
      </c>
      <c r="E287" s="252" t="s">
        <v>30</v>
      </c>
      <c r="F287" s="252" t="s">
        <v>128</v>
      </c>
      <c r="G287" s="64">
        <v>59750</v>
      </c>
      <c r="H287" s="64">
        <v>59750</v>
      </c>
      <c r="I287" s="64">
        <v>59750</v>
      </c>
      <c r="J287" s="272">
        <f>G287-H287</f>
        <v>0</v>
      </c>
    </row>
    <row r="288" spans="1:11" s="9" customFormat="1" ht="12.75">
      <c r="A288" s="69" t="s">
        <v>138</v>
      </c>
      <c r="B288" s="252" t="s">
        <v>468</v>
      </c>
      <c r="C288" s="252" t="s">
        <v>259</v>
      </c>
      <c r="D288" s="252" t="s">
        <v>146</v>
      </c>
      <c r="E288" s="252" t="s">
        <v>39</v>
      </c>
      <c r="F288" s="252" t="s">
        <v>131</v>
      </c>
      <c r="G288" s="64">
        <v>26256</v>
      </c>
      <c r="H288" s="64">
        <v>26256</v>
      </c>
      <c r="I288" s="64">
        <f>7496+18760+8630</f>
        <v>34886</v>
      </c>
      <c r="J288" s="272">
        <f>G288-H288</f>
        <v>0</v>
      </c>
      <c r="K288" s="149"/>
    </row>
    <row r="289" spans="1:11" s="9" customFormat="1" ht="12.75">
      <c r="A289" s="69" t="s">
        <v>441</v>
      </c>
      <c r="B289" s="252" t="s">
        <v>468</v>
      </c>
      <c r="C289" s="252" t="s">
        <v>259</v>
      </c>
      <c r="D289" s="252" t="s">
        <v>146</v>
      </c>
      <c r="E289" s="252" t="s">
        <v>499</v>
      </c>
      <c r="F289" s="252" t="s">
        <v>165</v>
      </c>
      <c r="G289" s="64">
        <f>4000-4000</f>
        <v>0</v>
      </c>
      <c r="H289" s="64"/>
      <c r="I289" s="64"/>
      <c r="J289" s="272"/>
      <c r="K289" s="149"/>
    </row>
    <row r="290" spans="1:11" s="9" customFormat="1" ht="12.75">
      <c r="A290" s="69"/>
      <c r="B290" s="252" t="s">
        <v>468</v>
      </c>
      <c r="C290" s="252" t="s">
        <v>259</v>
      </c>
      <c r="D290" s="252" t="s">
        <v>146</v>
      </c>
      <c r="E290" s="252" t="s">
        <v>513</v>
      </c>
      <c r="F290" s="252" t="s">
        <v>193</v>
      </c>
      <c r="G290" s="64">
        <v>0</v>
      </c>
      <c r="H290" s="64">
        <v>0</v>
      </c>
      <c r="I290" s="64">
        <v>0</v>
      </c>
      <c r="J290" s="272">
        <f aca="true" t="shared" si="15" ref="J290:J298">G290-H290</f>
        <v>0</v>
      </c>
      <c r="K290" s="149"/>
    </row>
    <row r="291" spans="1:11" s="9" customFormat="1" ht="12.75">
      <c r="A291" s="69" t="s">
        <v>182</v>
      </c>
      <c r="B291" s="252" t="s">
        <v>177</v>
      </c>
      <c r="C291" s="252" t="s">
        <v>259</v>
      </c>
      <c r="D291" s="252" t="s">
        <v>146</v>
      </c>
      <c r="E291" s="252" t="s">
        <v>497</v>
      </c>
      <c r="F291" s="252" t="s">
        <v>133</v>
      </c>
      <c r="G291" s="64">
        <v>99234.37</v>
      </c>
      <c r="H291" s="64">
        <v>99234.37</v>
      </c>
      <c r="I291" s="64">
        <f>11620+45981+4500+40756.2+4000</f>
        <v>106857.2</v>
      </c>
      <c r="J291" s="272">
        <f t="shared" si="15"/>
        <v>0</v>
      </c>
      <c r="K291" s="149"/>
    </row>
    <row r="292" spans="1:11" s="9" customFormat="1" ht="12.75">
      <c r="A292" s="69" t="s">
        <v>194</v>
      </c>
      <c r="B292" s="252" t="s">
        <v>468</v>
      </c>
      <c r="C292" s="252" t="s">
        <v>259</v>
      </c>
      <c r="D292" s="252" t="s">
        <v>146</v>
      </c>
      <c r="E292" s="252" t="s">
        <v>498</v>
      </c>
      <c r="F292" s="252" t="s">
        <v>130</v>
      </c>
      <c r="G292" s="64">
        <v>0</v>
      </c>
      <c r="H292" s="64"/>
      <c r="I292" s="64"/>
      <c r="J292" s="272">
        <f t="shared" si="15"/>
        <v>0</v>
      </c>
      <c r="K292" s="149"/>
    </row>
    <row r="293" spans="1:11" s="9" customFormat="1" ht="12.75">
      <c r="A293" s="69" t="s">
        <v>625</v>
      </c>
      <c r="B293" s="252" t="s">
        <v>468</v>
      </c>
      <c r="C293" s="252" t="s">
        <v>259</v>
      </c>
      <c r="D293" s="252" t="s">
        <v>167</v>
      </c>
      <c r="E293" s="252" t="s">
        <v>621</v>
      </c>
      <c r="F293" s="252" t="s">
        <v>157</v>
      </c>
      <c r="G293" s="64">
        <v>0</v>
      </c>
      <c r="H293" s="64"/>
      <c r="I293" s="64"/>
      <c r="J293" s="272">
        <f t="shared" si="15"/>
        <v>0</v>
      </c>
      <c r="K293" s="149"/>
    </row>
    <row r="294" spans="1:11" s="9" customFormat="1" ht="15">
      <c r="A294" s="211" t="s">
        <v>613</v>
      </c>
      <c r="B294" s="252" t="s">
        <v>177</v>
      </c>
      <c r="C294" s="335" t="s">
        <v>614</v>
      </c>
      <c r="D294" s="226">
        <v>121</v>
      </c>
      <c r="E294" s="226">
        <v>211</v>
      </c>
      <c r="F294" s="252"/>
      <c r="G294" s="336">
        <v>1948021.04</v>
      </c>
      <c r="H294" s="337">
        <v>1938021.04</v>
      </c>
      <c r="I294" s="337">
        <f>2235394.5</f>
        <v>2235394.5</v>
      </c>
      <c r="J294" s="338">
        <f t="shared" si="15"/>
        <v>10000</v>
      </c>
      <c r="K294" s="149"/>
    </row>
    <row r="295" spans="1:11" s="9" customFormat="1" ht="15">
      <c r="A295" s="211"/>
      <c r="B295" s="252" t="s">
        <v>177</v>
      </c>
      <c r="C295" s="335" t="s">
        <v>614</v>
      </c>
      <c r="D295" s="226">
        <v>121</v>
      </c>
      <c r="E295" s="226">
        <v>266</v>
      </c>
      <c r="F295" s="252"/>
      <c r="G295" s="336">
        <v>14605.5</v>
      </c>
      <c r="H295" s="337">
        <f>G295-7302.75</f>
        <v>7302.75</v>
      </c>
      <c r="I295" s="337">
        <v>14605.5</v>
      </c>
      <c r="J295" s="338">
        <f t="shared" si="15"/>
        <v>7302.75</v>
      </c>
      <c r="K295" s="149"/>
    </row>
    <row r="296" spans="1:11" s="9" customFormat="1" ht="30">
      <c r="A296" s="211" t="s">
        <v>656</v>
      </c>
      <c r="B296" s="252" t="s">
        <v>177</v>
      </c>
      <c r="C296" s="335" t="s">
        <v>614</v>
      </c>
      <c r="D296" s="226">
        <v>129</v>
      </c>
      <c r="E296" s="226">
        <v>213</v>
      </c>
      <c r="F296" s="252"/>
      <c r="G296" s="336">
        <v>558068.96</v>
      </c>
      <c r="H296" s="337">
        <v>555018.96</v>
      </c>
      <c r="I296" s="337">
        <v>680277</v>
      </c>
      <c r="J296" s="338">
        <f t="shared" si="15"/>
        <v>3050</v>
      </c>
      <c r="K296" s="149"/>
    </row>
    <row r="297" spans="1:11" s="9" customFormat="1" ht="15">
      <c r="A297" s="211" t="s">
        <v>626</v>
      </c>
      <c r="B297" s="252" t="s">
        <v>177</v>
      </c>
      <c r="C297" s="335" t="s">
        <v>614</v>
      </c>
      <c r="D297" s="226">
        <v>122</v>
      </c>
      <c r="E297" s="226">
        <v>212</v>
      </c>
      <c r="F297" s="252" t="s">
        <v>99</v>
      </c>
      <c r="G297" s="336">
        <v>26500</v>
      </c>
      <c r="H297" s="337">
        <v>8480</v>
      </c>
      <c r="I297" s="337">
        <f>H297</f>
        <v>8480</v>
      </c>
      <c r="J297" s="338">
        <f t="shared" si="15"/>
        <v>18020</v>
      </c>
      <c r="K297" s="149"/>
    </row>
    <row r="298" spans="1:11" s="9" customFormat="1" ht="12.75">
      <c r="A298" s="69" t="s">
        <v>625</v>
      </c>
      <c r="B298" s="252" t="s">
        <v>177</v>
      </c>
      <c r="C298" s="335" t="s">
        <v>614</v>
      </c>
      <c r="D298" s="226">
        <v>321</v>
      </c>
      <c r="E298" s="226">
        <v>265</v>
      </c>
      <c r="F298" s="252" t="s">
        <v>157</v>
      </c>
      <c r="G298" s="336">
        <v>266000</v>
      </c>
      <c r="H298" s="64">
        <f>I298</f>
        <v>265364</v>
      </c>
      <c r="I298" s="64">
        <f>265364</f>
        <v>265364</v>
      </c>
      <c r="J298" s="338">
        <f t="shared" si="15"/>
        <v>636</v>
      </c>
      <c r="K298" s="149"/>
    </row>
    <row r="299" spans="1:11" s="9" customFormat="1" ht="25.5">
      <c r="A299" s="34" t="s">
        <v>63</v>
      </c>
      <c r="B299" s="250" t="s">
        <v>64</v>
      </c>
      <c r="C299" s="250"/>
      <c r="D299" s="250"/>
      <c r="E299" s="250"/>
      <c r="F299" s="250"/>
      <c r="G299" s="339">
        <f>G300+G307+G343</f>
        <v>966284.6399999999</v>
      </c>
      <c r="H299" s="339">
        <f>H300+H307+H343</f>
        <v>895894.6499999999</v>
      </c>
      <c r="I299" s="339">
        <f>I300+I307+I343</f>
        <v>961520.84</v>
      </c>
      <c r="J299" s="339">
        <f>J300+J307+J343</f>
        <v>70389.99000000002</v>
      </c>
      <c r="K299" s="191">
        <f>G299-H299</f>
        <v>70389.98999999999</v>
      </c>
    </row>
    <row r="300" spans="1:10" s="8" customFormat="1" ht="12.75">
      <c r="A300" s="58" t="s">
        <v>171</v>
      </c>
      <c r="B300" s="253"/>
      <c r="C300" s="253"/>
      <c r="D300" s="253"/>
      <c r="E300" s="253"/>
      <c r="F300" s="253"/>
      <c r="G300" s="275">
        <f>G301</f>
        <v>154500</v>
      </c>
      <c r="H300" s="275">
        <f aca="true" t="shared" si="16" ref="H300:J302">H301</f>
        <v>154500</v>
      </c>
      <c r="I300" s="275">
        <f t="shared" si="16"/>
        <v>154500</v>
      </c>
      <c r="J300" s="275">
        <f t="shared" si="16"/>
        <v>0</v>
      </c>
    </row>
    <row r="301" spans="1:10" s="8" customFormat="1" ht="38.25">
      <c r="A301" s="55" t="s">
        <v>260</v>
      </c>
      <c r="B301" s="253" t="s">
        <v>180</v>
      </c>
      <c r="C301" s="253" t="s">
        <v>261</v>
      </c>
      <c r="D301" s="253"/>
      <c r="E301" s="253"/>
      <c r="F301" s="253"/>
      <c r="G301" s="59">
        <f>G302</f>
        <v>154500</v>
      </c>
      <c r="H301" s="59">
        <f t="shared" si="16"/>
        <v>154500</v>
      </c>
      <c r="I301" s="59">
        <f t="shared" si="16"/>
        <v>154500</v>
      </c>
      <c r="J301" s="59">
        <f t="shared" si="16"/>
        <v>0</v>
      </c>
    </row>
    <row r="302" spans="1:10" s="8" customFormat="1" ht="25.5">
      <c r="A302" s="55" t="s">
        <v>237</v>
      </c>
      <c r="B302" s="253" t="s">
        <v>180</v>
      </c>
      <c r="C302" s="253" t="s">
        <v>261</v>
      </c>
      <c r="D302" s="253" t="s">
        <v>219</v>
      </c>
      <c r="E302" s="253"/>
      <c r="F302" s="253"/>
      <c r="G302" s="275">
        <f>G303</f>
        <v>154500</v>
      </c>
      <c r="H302" s="275">
        <f t="shared" si="16"/>
        <v>154500</v>
      </c>
      <c r="I302" s="275">
        <f t="shared" si="16"/>
        <v>154500</v>
      </c>
      <c r="J302" s="275">
        <f t="shared" si="16"/>
        <v>0</v>
      </c>
    </row>
    <row r="303" spans="1:10" s="8" customFormat="1" ht="25.5">
      <c r="A303" s="55" t="s">
        <v>226</v>
      </c>
      <c r="B303" s="253" t="s">
        <v>180</v>
      </c>
      <c r="C303" s="253" t="s">
        <v>261</v>
      </c>
      <c r="D303" s="253" t="s">
        <v>146</v>
      </c>
      <c r="E303" s="253"/>
      <c r="F303" s="253"/>
      <c r="G303" s="275">
        <f>G304+G306</f>
        <v>154500</v>
      </c>
      <c r="H303" s="275">
        <f>H304+H306</f>
        <v>154500</v>
      </c>
      <c r="I303" s="275">
        <f>I304+I306</f>
        <v>154500</v>
      </c>
      <c r="J303" s="275">
        <f>J304+J306</f>
        <v>0</v>
      </c>
    </row>
    <row r="304" spans="1:10" s="8" customFormat="1" ht="12.75">
      <c r="A304" s="69" t="s">
        <v>29</v>
      </c>
      <c r="B304" s="252" t="s">
        <v>180</v>
      </c>
      <c r="C304" s="252" t="s">
        <v>261</v>
      </c>
      <c r="D304" s="252" t="s">
        <v>146</v>
      </c>
      <c r="E304" s="252" t="s">
        <v>30</v>
      </c>
      <c r="F304" s="253"/>
      <c r="G304" s="64">
        <f>G305</f>
        <v>154500</v>
      </c>
      <c r="H304" s="64">
        <f>H305</f>
        <v>154500</v>
      </c>
      <c r="I304" s="64">
        <f>I305</f>
        <v>154500</v>
      </c>
      <c r="J304" s="64">
        <f>J305</f>
        <v>0</v>
      </c>
    </row>
    <row r="305" spans="1:10" s="8" customFormat="1" ht="25.5">
      <c r="A305" s="69" t="s">
        <v>262</v>
      </c>
      <c r="B305" s="252" t="s">
        <v>180</v>
      </c>
      <c r="C305" s="252" t="s">
        <v>261</v>
      </c>
      <c r="D305" s="252" t="s">
        <v>146</v>
      </c>
      <c r="E305" s="252" t="s">
        <v>30</v>
      </c>
      <c r="F305" s="252" t="s">
        <v>128</v>
      </c>
      <c r="G305" s="307">
        <f>47000+107500</f>
        <v>154500</v>
      </c>
      <c r="H305" s="64">
        <v>154500</v>
      </c>
      <c r="I305" s="64">
        <f>47000+107500</f>
        <v>154500</v>
      </c>
      <c r="J305" s="272">
        <f>G305-H305</f>
        <v>0</v>
      </c>
    </row>
    <row r="306" spans="1:10" s="8" customFormat="1" ht="12.75">
      <c r="A306" s="55" t="s">
        <v>403</v>
      </c>
      <c r="B306" s="251" t="s">
        <v>180</v>
      </c>
      <c r="C306" s="251" t="s">
        <v>400</v>
      </c>
      <c r="D306" s="251" t="s">
        <v>146</v>
      </c>
      <c r="E306" s="251" t="s">
        <v>30</v>
      </c>
      <c r="F306" s="251" t="s">
        <v>128</v>
      </c>
      <c r="G306" s="59">
        <v>0</v>
      </c>
      <c r="H306" s="59">
        <v>0</v>
      </c>
      <c r="I306" s="59">
        <v>0</v>
      </c>
      <c r="J306" s="59">
        <v>0</v>
      </c>
    </row>
    <row r="307" spans="1:10" s="9" customFormat="1" ht="12.75">
      <c r="A307" s="57" t="s">
        <v>170</v>
      </c>
      <c r="B307" s="340"/>
      <c r="C307" s="340"/>
      <c r="D307" s="340"/>
      <c r="E307" s="340"/>
      <c r="F307" s="341"/>
      <c r="G307" s="313">
        <f>G308</f>
        <v>672364.6399999999</v>
      </c>
      <c r="H307" s="313">
        <f>H308</f>
        <v>601974.6499999999</v>
      </c>
      <c r="I307" s="313">
        <f>I308</f>
        <v>667600.84</v>
      </c>
      <c r="J307" s="313">
        <f>J308</f>
        <v>70389.99000000002</v>
      </c>
    </row>
    <row r="308" spans="1:10" s="9" customFormat="1" ht="38.25">
      <c r="A308" s="22" t="s">
        <v>263</v>
      </c>
      <c r="B308" s="279" t="s">
        <v>65</v>
      </c>
      <c r="C308" s="342"/>
      <c r="D308" s="342"/>
      <c r="E308" s="342"/>
      <c r="F308" s="260"/>
      <c r="G308" s="313">
        <f>G309+G328</f>
        <v>672364.6399999999</v>
      </c>
      <c r="H308" s="313">
        <f>H309+H328</f>
        <v>601974.6499999999</v>
      </c>
      <c r="I308" s="313">
        <f>I309+I328</f>
        <v>667600.84</v>
      </c>
      <c r="J308" s="313">
        <f>J309+J328</f>
        <v>70389.99000000002</v>
      </c>
    </row>
    <row r="309" spans="1:11" s="9" customFormat="1" ht="38.25">
      <c r="A309" s="100" t="s">
        <v>479</v>
      </c>
      <c r="B309" s="258" t="s">
        <v>65</v>
      </c>
      <c r="C309" s="258" t="s">
        <v>409</v>
      </c>
      <c r="D309" s="258"/>
      <c r="E309" s="258"/>
      <c r="F309" s="258"/>
      <c r="G309" s="106">
        <f>G310+G323</f>
        <v>366035.04</v>
      </c>
      <c r="H309" s="106">
        <f>H310</f>
        <v>358911.32999999996</v>
      </c>
      <c r="I309" s="106">
        <f>I310</f>
        <v>358911.32999999996</v>
      </c>
      <c r="J309" s="106">
        <f>J310+J323</f>
        <v>7123.710000000024</v>
      </c>
      <c r="K309" s="191"/>
    </row>
    <row r="310" spans="1:10" s="77" customFormat="1" ht="25.5">
      <c r="A310" s="104" t="s">
        <v>237</v>
      </c>
      <c r="B310" s="323" t="s">
        <v>65</v>
      </c>
      <c r="C310" s="323" t="s">
        <v>410</v>
      </c>
      <c r="D310" s="323" t="s">
        <v>219</v>
      </c>
      <c r="E310" s="323"/>
      <c r="F310" s="323"/>
      <c r="G310" s="319">
        <f>G311+G316</f>
        <v>366035.04</v>
      </c>
      <c r="H310" s="319">
        <f>H311+H316</f>
        <v>358911.32999999996</v>
      </c>
      <c r="I310" s="319">
        <f>I311+I316</f>
        <v>358911.32999999996</v>
      </c>
      <c r="J310" s="319">
        <f>J311+J316</f>
        <v>7123.710000000024</v>
      </c>
    </row>
    <row r="311" spans="1:10" s="77" customFormat="1" ht="38.25">
      <c r="A311" s="104" t="s">
        <v>225</v>
      </c>
      <c r="B311" s="323" t="s">
        <v>65</v>
      </c>
      <c r="C311" s="323" t="s">
        <v>410</v>
      </c>
      <c r="D311" s="323" t="s">
        <v>62</v>
      </c>
      <c r="E311" s="323"/>
      <c r="F311" s="323"/>
      <c r="G311" s="307">
        <f>G312</f>
        <v>366035.04</v>
      </c>
      <c r="H311" s="307">
        <f>H312</f>
        <v>358911.32999999996</v>
      </c>
      <c r="I311" s="307">
        <f>I312</f>
        <v>358911.32999999996</v>
      </c>
      <c r="J311" s="307">
        <f>J312</f>
        <v>7123.710000000021</v>
      </c>
    </row>
    <row r="312" spans="1:11" s="77" customFormat="1" ht="12.75">
      <c r="A312" s="105" t="s">
        <v>26</v>
      </c>
      <c r="B312" s="320" t="s">
        <v>65</v>
      </c>
      <c r="C312" s="320" t="s">
        <v>410</v>
      </c>
      <c r="D312" s="320" t="s">
        <v>62</v>
      </c>
      <c r="E312" s="320" t="s">
        <v>27</v>
      </c>
      <c r="F312" s="320"/>
      <c r="G312" s="307">
        <f>G313+G314+G315</f>
        <v>366035.04</v>
      </c>
      <c r="H312" s="307">
        <f>H313+H314+H315</f>
        <v>358911.32999999996</v>
      </c>
      <c r="I312" s="307">
        <f>I313+I314+I315</f>
        <v>358911.32999999996</v>
      </c>
      <c r="J312" s="307">
        <f>J313+J314+J315</f>
        <v>7123.710000000021</v>
      </c>
      <c r="K312" s="190"/>
    </row>
    <row r="313" spans="1:12" s="77" customFormat="1" ht="38.25">
      <c r="A313" s="42" t="s">
        <v>264</v>
      </c>
      <c r="B313" s="252" t="s">
        <v>65</v>
      </c>
      <c r="C313" s="252" t="s">
        <v>410</v>
      </c>
      <c r="D313" s="252" t="s">
        <v>62</v>
      </c>
      <c r="E313" s="252" t="s">
        <v>27</v>
      </c>
      <c r="F313" s="252" t="s">
        <v>124</v>
      </c>
      <c r="G313" s="64">
        <f>339038.04+26997</f>
        <v>366035.04</v>
      </c>
      <c r="H313" s="64">
        <f>16666.68+10366.8+339000-7122.15</f>
        <v>358911.32999999996</v>
      </c>
      <c r="I313" s="64">
        <f>16666.68+10366.8+339000-7122.15</f>
        <v>358911.32999999996</v>
      </c>
      <c r="J313" s="59">
        <f>G313-H313</f>
        <v>7123.710000000021</v>
      </c>
      <c r="K313" s="151"/>
      <c r="L313" s="190"/>
    </row>
    <row r="314" spans="1:11" s="77" customFormat="1" ht="25.5" hidden="1">
      <c r="A314" s="42" t="s">
        <v>391</v>
      </c>
      <c r="B314" s="252" t="s">
        <v>65</v>
      </c>
      <c r="C314" s="252" t="s">
        <v>410</v>
      </c>
      <c r="D314" s="252" t="s">
        <v>62</v>
      </c>
      <c r="E314" s="252" t="s">
        <v>30</v>
      </c>
      <c r="F314" s="252" t="s">
        <v>128</v>
      </c>
      <c r="G314" s="64">
        <v>0</v>
      </c>
      <c r="H314" s="64"/>
      <c r="I314" s="64"/>
      <c r="J314" s="59">
        <f>G314-H314</f>
        <v>0</v>
      </c>
      <c r="K314" s="151"/>
    </row>
    <row r="315" spans="1:11" s="77" customFormat="1" ht="25.5" hidden="1">
      <c r="A315" s="42" t="s">
        <v>392</v>
      </c>
      <c r="B315" s="252" t="s">
        <v>65</v>
      </c>
      <c r="C315" s="252" t="s">
        <v>410</v>
      </c>
      <c r="D315" s="252" t="s">
        <v>62</v>
      </c>
      <c r="E315" s="252" t="s">
        <v>39</v>
      </c>
      <c r="F315" s="252" t="s">
        <v>131</v>
      </c>
      <c r="G315" s="64">
        <v>0</v>
      </c>
      <c r="H315" s="64"/>
      <c r="I315" s="64"/>
      <c r="J315" s="275">
        <f>G315-H315</f>
        <v>0</v>
      </c>
      <c r="K315" s="151"/>
    </row>
    <row r="316" spans="1:10" s="77" customFormat="1" ht="25.5" hidden="1">
      <c r="A316" s="104" t="s">
        <v>226</v>
      </c>
      <c r="B316" s="323" t="s">
        <v>65</v>
      </c>
      <c r="C316" s="320" t="s">
        <v>410</v>
      </c>
      <c r="D316" s="323" t="s">
        <v>146</v>
      </c>
      <c r="E316" s="320"/>
      <c r="F316" s="320"/>
      <c r="G316" s="343">
        <f>G320+G318+G317+G326+G327+G324+G325</f>
        <v>2.8990143619012088E-12</v>
      </c>
      <c r="H316" s="343">
        <f>H320+H318+H317+H326+H327+H324+H325</f>
        <v>0</v>
      </c>
      <c r="I316" s="343">
        <f>I320+I318+I317+I326+I327+I324+I325</f>
        <v>0</v>
      </c>
      <c r="J316" s="343">
        <f>J320+J318+J317+J326+J327+J324+J325</f>
        <v>2.8990143619012088E-12</v>
      </c>
    </row>
    <row r="317" spans="1:10" s="77" customFormat="1" ht="12.75" hidden="1">
      <c r="A317" s="105" t="s">
        <v>35</v>
      </c>
      <c r="B317" s="320" t="s">
        <v>65</v>
      </c>
      <c r="C317" s="320" t="s">
        <v>410</v>
      </c>
      <c r="D317" s="320" t="s">
        <v>146</v>
      </c>
      <c r="E317" s="320" t="s">
        <v>30</v>
      </c>
      <c r="F317" s="344" t="s">
        <v>128</v>
      </c>
      <c r="G317" s="64">
        <f>236795.4-236795.4</f>
        <v>0</v>
      </c>
      <c r="H317" s="345"/>
      <c r="I317" s="307"/>
      <c r="J317" s="327">
        <f>G317-H317</f>
        <v>0</v>
      </c>
    </row>
    <row r="318" spans="1:10" s="77" customFormat="1" ht="12.75" hidden="1">
      <c r="A318" s="23" t="s">
        <v>246</v>
      </c>
      <c r="B318" s="320" t="s">
        <v>65</v>
      </c>
      <c r="C318" s="320" t="s">
        <v>410</v>
      </c>
      <c r="D318" s="320" t="s">
        <v>146</v>
      </c>
      <c r="E318" s="320" t="s">
        <v>39</v>
      </c>
      <c r="F318" s="320"/>
      <c r="G318" s="346">
        <f>G319</f>
        <v>2.8990143619012088E-12</v>
      </c>
      <c r="H318" s="319">
        <f>H319</f>
        <v>0</v>
      </c>
      <c r="I318" s="319">
        <f>I319</f>
        <v>0</v>
      </c>
      <c r="J318" s="319">
        <f>J319</f>
        <v>2.8990143619012088E-12</v>
      </c>
    </row>
    <row r="319" spans="1:10" s="77" customFormat="1" ht="25.5" hidden="1">
      <c r="A319" s="37" t="s">
        <v>266</v>
      </c>
      <c r="B319" s="320" t="s">
        <v>65</v>
      </c>
      <c r="C319" s="320" t="s">
        <v>410</v>
      </c>
      <c r="D319" s="320" t="s">
        <v>146</v>
      </c>
      <c r="E319" s="320" t="s">
        <v>39</v>
      </c>
      <c r="F319" s="320" t="s">
        <v>131</v>
      </c>
      <c r="G319" s="307">
        <f>77256.8-77000-256.8</f>
        <v>2.8990143619012088E-12</v>
      </c>
      <c r="H319" s="307"/>
      <c r="I319" s="307"/>
      <c r="J319" s="64">
        <f>G319-H319</f>
        <v>2.8990143619012088E-12</v>
      </c>
    </row>
    <row r="320" spans="1:10" s="77" customFormat="1" ht="12.75" hidden="1">
      <c r="A320" s="105" t="s">
        <v>41</v>
      </c>
      <c r="B320" s="320" t="s">
        <v>65</v>
      </c>
      <c r="C320" s="320" t="s">
        <v>410</v>
      </c>
      <c r="D320" s="320" t="s">
        <v>146</v>
      </c>
      <c r="E320" s="320" t="s">
        <v>42</v>
      </c>
      <c r="F320" s="320"/>
      <c r="G320" s="307">
        <f>G321+G322</f>
        <v>0</v>
      </c>
      <c r="H320" s="307">
        <f>H321+H322</f>
        <v>0</v>
      </c>
      <c r="I320" s="307">
        <f>I321+I322</f>
        <v>0</v>
      </c>
      <c r="J320" s="307">
        <f>J321+J322</f>
        <v>0</v>
      </c>
    </row>
    <row r="321" spans="1:10" s="77" customFormat="1" ht="12.75" hidden="1">
      <c r="A321" s="105" t="s">
        <v>265</v>
      </c>
      <c r="B321" s="320" t="s">
        <v>65</v>
      </c>
      <c r="C321" s="320" t="s">
        <v>410</v>
      </c>
      <c r="D321" s="320" t="s">
        <v>146</v>
      </c>
      <c r="E321" s="320" t="s">
        <v>42</v>
      </c>
      <c r="F321" s="320" t="s">
        <v>165</v>
      </c>
      <c r="G321" s="64"/>
      <c r="H321" s="64">
        <v>0</v>
      </c>
      <c r="I321" s="64">
        <v>0</v>
      </c>
      <c r="J321" s="64">
        <f>G321-H321</f>
        <v>0</v>
      </c>
    </row>
    <row r="322" spans="1:11" s="77" customFormat="1" ht="12.75" hidden="1">
      <c r="A322" s="105"/>
      <c r="B322" s="320" t="s">
        <v>65</v>
      </c>
      <c r="C322" s="320" t="s">
        <v>410</v>
      </c>
      <c r="D322" s="320" t="s">
        <v>146</v>
      </c>
      <c r="E322" s="320" t="s">
        <v>497</v>
      </c>
      <c r="F322" s="320" t="s">
        <v>133</v>
      </c>
      <c r="G322" s="64">
        <v>0</v>
      </c>
      <c r="H322" s="64"/>
      <c r="I322" s="64"/>
      <c r="J322" s="64">
        <f>G322-H322</f>
        <v>0</v>
      </c>
      <c r="K322" s="151"/>
    </row>
    <row r="323" spans="1:11" s="77" customFormat="1" ht="12.75" hidden="1">
      <c r="A323" s="105" t="s">
        <v>514</v>
      </c>
      <c r="B323" s="320" t="s">
        <v>65</v>
      </c>
      <c r="C323" s="320" t="s">
        <v>410</v>
      </c>
      <c r="D323" s="320" t="s">
        <v>181</v>
      </c>
      <c r="E323" s="320" t="s">
        <v>453</v>
      </c>
      <c r="F323" s="320" t="s">
        <v>134</v>
      </c>
      <c r="G323" s="64">
        <f>40000-18400-21600</f>
        <v>0</v>
      </c>
      <c r="H323" s="64"/>
      <c r="I323" s="64"/>
      <c r="J323" s="64">
        <f>G323-H323</f>
        <v>0</v>
      </c>
      <c r="K323" s="151"/>
    </row>
    <row r="324" spans="1:11" s="77" customFormat="1" ht="25.5" hidden="1">
      <c r="A324" s="105" t="s">
        <v>642</v>
      </c>
      <c r="B324" s="320" t="s">
        <v>65</v>
      </c>
      <c r="C324" s="320" t="s">
        <v>641</v>
      </c>
      <c r="D324" s="320" t="s">
        <v>146</v>
      </c>
      <c r="E324" s="320" t="s">
        <v>30</v>
      </c>
      <c r="F324" s="320" t="s">
        <v>128</v>
      </c>
      <c r="G324" s="64">
        <f>200240.5-321.14-199919.36</f>
        <v>0</v>
      </c>
      <c r="H324" s="64"/>
      <c r="I324" s="64"/>
      <c r="J324" s="64">
        <f>G324-H324</f>
        <v>0</v>
      </c>
      <c r="K324" s="151"/>
    </row>
    <row r="325" spans="1:11" s="77" customFormat="1" ht="25.5" hidden="1">
      <c r="A325" s="105" t="s">
        <v>643</v>
      </c>
      <c r="B325" s="320" t="s">
        <v>65</v>
      </c>
      <c r="C325" s="320" t="s">
        <v>644</v>
      </c>
      <c r="D325" s="320" t="s">
        <v>146</v>
      </c>
      <c r="E325" s="320" t="s">
        <v>30</v>
      </c>
      <c r="F325" s="320" t="s">
        <v>128</v>
      </c>
      <c r="G325" s="64">
        <f>36674.9-58.86-36616.04</f>
        <v>0</v>
      </c>
      <c r="H325" s="64"/>
      <c r="I325" s="64"/>
      <c r="J325" s="64">
        <f>G325-H325</f>
        <v>0</v>
      </c>
      <c r="K325" s="151"/>
    </row>
    <row r="326" spans="1:11" s="77" customFormat="1" ht="25.5" hidden="1">
      <c r="A326" s="105" t="s">
        <v>642</v>
      </c>
      <c r="B326" s="320" t="s">
        <v>65</v>
      </c>
      <c r="C326" s="320" t="s">
        <v>641</v>
      </c>
      <c r="D326" s="320" t="s">
        <v>146</v>
      </c>
      <c r="E326" s="320" t="s">
        <v>497</v>
      </c>
      <c r="F326" s="320" t="s">
        <v>133</v>
      </c>
      <c r="G326" s="64">
        <f>18154.9+321.14-18476.04</f>
        <v>0</v>
      </c>
      <c r="H326" s="64"/>
      <c r="I326" s="64"/>
      <c r="J326" s="64"/>
      <c r="K326" s="232"/>
    </row>
    <row r="327" spans="1:11" s="77" customFormat="1" ht="25.5" hidden="1">
      <c r="A327" s="105" t="s">
        <v>643</v>
      </c>
      <c r="B327" s="320" t="s">
        <v>65</v>
      </c>
      <c r="C327" s="320" t="s">
        <v>644</v>
      </c>
      <c r="D327" s="320" t="s">
        <v>146</v>
      </c>
      <c r="E327" s="320" t="s">
        <v>497</v>
      </c>
      <c r="F327" s="320" t="s">
        <v>133</v>
      </c>
      <c r="G327" s="64">
        <f>3325.1+58.86-3383.96</f>
        <v>0</v>
      </c>
      <c r="H327" s="64"/>
      <c r="I327" s="64"/>
      <c r="J327" s="64"/>
      <c r="K327" s="232"/>
    </row>
    <row r="328" spans="1:10" s="9" customFormat="1" ht="25.5">
      <c r="A328" s="100" t="s">
        <v>480</v>
      </c>
      <c r="B328" s="258" t="s">
        <v>65</v>
      </c>
      <c r="C328" s="258" t="s">
        <v>411</v>
      </c>
      <c r="D328" s="258"/>
      <c r="E328" s="258"/>
      <c r="F328" s="258"/>
      <c r="G328" s="106">
        <f>G329+G342</f>
        <v>306329.6</v>
      </c>
      <c r="H328" s="106">
        <f>H329+H342</f>
        <v>243063.32</v>
      </c>
      <c r="I328" s="106">
        <f>I329+I342</f>
        <v>308689.51</v>
      </c>
      <c r="J328" s="106">
        <f>J329+J342</f>
        <v>63266.28</v>
      </c>
    </row>
    <row r="329" spans="1:10" s="8" customFormat="1" ht="25.5">
      <c r="A329" s="104" t="s">
        <v>237</v>
      </c>
      <c r="B329" s="323" t="s">
        <v>65</v>
      </c>
      <c r="C329" s="320" t="s">
        <v>411</v>
      </c>
      <c r="D329" s="323" t="s">
        <v>219</v>
      </c>
      <c r="E329" s="323"/>
      <c r="F329" s="323"/>
      <c r="G329" s="307">
        <f>G333+G330+G331+G332</f>
        <v>306329.6</v>
      </c>
      <c r="H329" s="307">
        <f>H333+H330+H331+H332</f>
        <v>243063.32</v>
      </c>
      <c r="I329" s="307">
        <f>I333+I330+I331+I332</f>
        <v>308689.51</v>
      </c>
      <c r="J329" s="307">
        <f>J333+J330+J331+J332</f>
        <v>63266.28</v>
      </c>
    </row>
    <row r="330" spans="1:10" s="8" customFormat="1" ht="25.5">
      <c r="A330" s="37" t="s">
        <v>266</v>
      </c>
      <c r="B330" s="320" t="s">
        <v>65</v>
      </c>
      <c r="C330" s="320" t="s">
        <v>411</v>
      </c>
      <c r="D330" s="320" t="s">
        <v>146</v>
      </c>
      <c r="E330" s="320" t="s">
        <v>39</v>
      </c>
      <c r="F330" s="320" t="s">
        <v>131</v>
      </c>
      <c r="G330" s="307"/>
      <c r="H330" s="307"/>
      <c r="I330" s="307"/>
      <c r="J330" s="64">
        <f>G330-H330</f>
        <v>0</v>
      </c>
    </row>
    <row r="331" spans="1:10" s="8" customFormat="1" ht="12.75">
      <c r="A331" s="23" t="s">
        <v>45</v>
      </c>
      <c r="B331" s="320" t="s">
        <v>65</v>
      </c>
      <c r="C331" s="320" t="s">
        <v>411</v>
      </c>
      <c r="D331" s="320" t="s">
        <v>62</v>
      </c>
      <c r="E331" s="320" t="s">
        <v>19</v>
      </c>
      <c r="F331" s="320"/>
      <c r="G331" s="307">
        <f>8000-1400</f>
        <v>6600</v>
      </c>
      <c r="H331" s="307">
        <v>0</v>
      </c>
      <c r="I331" s="307">
        <v>2000</v>
      </c>
      <c r="J331" s="64">
        <f>G331-H331</f>
        <v>6600</v>
      </c>
    </row>
    <row r="332" spans="1:10" s="8" customFormat="1" ht="12.75">
      <c r="A332" s="23"/>
      <c r="B332" s="320" t="s">
        <v>65</v>
      </c>
      <c r="C332" s="320" t="s">
        <v>411</v>
      </c>
      <c r="D332" s="320" t="s">
        <v>62</v>
      </c>
      <c r="E332" s="320" t="s">
        <v>39</v>
      </c>
      <c r="F332" s="320" t="s">
        <v>131</v>
      </c>
      <c r="G332" s="307">
        <f>7000+1400</f>
        <v>8400</v>
      </c>
      <c r="H332" s="307">
        <v>8400</v>
      </c>
      <c r="I332" s="307">
        <v>8400</v>
      </c>
      <c r="J332" s="64">
        <f>G332-H332</f>
        <v>0</v>
      </c>
    </row>
    <row r="333" spans="1:10" s="77" customFormat="1" ht="25.5">
      <c r="A333" s="104" t="s">
        <v>226</v>
      </c>
      <c r="B333" s="323" t="s">
        <v>65</v>
      </c>
      <c r="C333" s="320" t="s">
        <v>411</v>
      </c>
      <c r="D333" s="323" t="s">
        <v>146</v>
      </c>
      <c r="E333" s="320"/>
      <c r="F333" s="320"/>
      <c r="G333" s="64">
        <f>G336+G338+G334+G335</f>
        <v>291329.6</v>
      </c>
      <c r="H333" s="64">
        <f>H336+H338+H334+H335</f>
        <v>234663.32</v>
      </c>
      <c r="I333" s="64">
        <f>I336+I338+I334+I335</f>
        <v>298289.51</v>
      </c>
      <c r="J333" s="64">
        <f>J336+J338+J334+J335</f>
        <v>56666.28</v>
      </c>
    </row>
    <row r="334" spans="1:10" s="77" customFormat="1" ht="12.75">
      <c r="A334" s="105" t="s">
        <v>29</v>
      </c>
      <c r="B334" s="320" t="s">
        <v>65</v>
      </c>
      <c r="C334" s="320" t="s">
        <v>411</v>
      </c>
      <c r="D334" s="320" t="s">
        <v>146</v>
      </c>
      <c r="E334" s="320" t="s">
        <v>27</v>
      </c>
      <c r="F334" s="320" t="s">
        <v>124</v>
      </c>
      <c r="G334" s="64">
        <f>15000+20000</f>
        <v>35000</v>
      </c>
      <c r="H334" s="64">
        <v>0</v>
      </c>
      <c r="I334" s="64">
        <v>35000</v>
      </c>
      <c r="J334" s="64">
        <f>G334-H334</f>
        <v>35000</v>
      </c>
    </row>
    <row r="335" spans="1:10" s="77" customFormat="1" ht="12.75">
      <c r="A335" s="105"/>
      <c r="B335" s="320" t="s">
        <v>65</v>
      </c>
      <c r="C335" s="320" t="s">
        <v>411</v>
      </c>
      <c r="D335" s="320" t="s">
        <v>146</v>
      </c>
      <c r="E335" s="320" t="s">
        <v>30</v>
      </c>
      <c r="F335" s="320" t="s">
        <v>402</v>
      </c>
      <c r="G335" s="64"/>
      <c r="H335" s="64"/>
      <c r="I335" s="64"/>
      <c r="J335" s="64">
        <f>G335-H335</f>
        <v>0</v>
      </c>
    </row>
    <row r="336" spans="1:11" s="77" customFormat="1" ht="12.75">
      <c r="A336" s="23" t="s">
        <v>246</v>
      </c>
      <c r="B336" s="320" t="s">
        <v>65</v>
      </c>
      <c r="C336" s="320" t="s">
        <v>411</v>
      </c>
      <c r="D336" s="320" t="s">
        <v>146</v>
      </c>
      <c r="E336" s="320" t="s">
        <v>39</v>
      </c>
      <c r="F336" s="320"/>
      <c r="G336" s="64">
        <f>G337</f>
        <v>198100</v>
      </c>
      <c r="H336" s="64">
        <f>H337</f>
        <v>198086.2</v>
      </c>
      <c r="I336" s="64">
        <f>I337</f>
        <v>198086.21</v>
      </c>
      <c r="J336" s="64">
        <f>J337</f>
        <v>13.799999999988358</v>
      </c>
      <c r="K336" s="190"/>
    </row>
    <row r="337" spans="1:11" s="77" customFormat="1" ht="25.5">
      <c r="A337" s="37" t="s">
        <v>266</v>
      </c>
      <c r="B337" s="320" t="s">
        <v>65</v>
      </c>
      <c r="C337" s="320" t="s">
        <v>411</v>
      </c>
      <c r="D337" s="320" t="s">
        <v>146</v>
      </c>
      <c r="E337" s="320" t="s">
        <v>39</v>
      </c>
      <c r="F337" s="320" t="s">
        <v>131</v>
      </c>
      <c r="G337" s="64">
        <f>172400+25700</f>
        <v>198100</v>
      </c>
      <c r="H337" s="64">
        <f>44836.2+125650+27600</f>
        <v>198086.2</v>
      </c>
      <c r="I337" s="64">
        <f>44836.21+125650+27600</f>
        <v>198086.21</v>
      </c>
      <c r="J337" s="64">
        <f>G337-H337</f>
        <v>13.799999999988358</v>
      </c>
      <c r="K337" s="151"/>
    </row>
    <row r="338" spans="1:10" s="77" customFormat="1" ht="12.75">
      <c r="A338" s="23" t="s">
        <v>41</v>
      </c>
      <c r="B338" s="320" t="s">
        <v>65</v>
      </c>
      <c r="C338" s="320" t="s">
        <v>411</v>
      </c>
      <c r="D338" s="320" t="s">
        <v>146</v>
      </c>
      <c r="E338" s="320" t="s">
        <v>42</v>
      </c>
      <c r="F338" s="320"/>
      <c r="G338" s="64">
        <f>G339+G340+G341</f>
        <v>58229.600000000006</v>
      </c>
      <c r="H338" s="64">
        <f>H339+H340+H341</f>
        <v>36577.119999999995</v>
      </c>
      <c r="I338" s="64">
        <f>I339+I340+I341</f>
        <v>65203.3</v>
      </c>
      <c r="J338" s="64">
        <f>J339+J340+J341</f>
        <v>21652.48000000001</v>
      </c>
    </row>
    <row r="339" spans="1:11" s="107" customFormat="1" ht="12.75">
      <c r="A339" s="37" t="s">
        <v>441</v>
      </c>
      <c r="B339" s="320" t="s">
        <v>65</v>
      </c>
      <c r="C339" s="320" t="s">
        <v>411</v>
      </c>
      <c r="D339" s="320" t="s">
        <v>146</v>
      </c>
      <c r="E339" s="320" t="s">
        <v>499</v>
      </c>
      <c r="F339" s="320" t="s">
        <v>165</v>
      </c>
      <c r="G339" s="64">
        <f>32323.2-2323.2-30000</f>
        <v>0</v>
      </c>
      <c r="H339" s="64"/>
      <c r="I339" s="64"/>
      <c r="J339" s="64">
        <f>G339-H339</f>
        <v>0</v>
      </c>
      <c r="K339" s="77"/>
    </row>
    <row r="340" spans="1:10" s="77" customFormat="1" ht="12.75">
      <c r="A340" s="37" t="s">
        <v>182</v>
      </c>
      <c r="B340" s="320" t="s">
        <v>65</v>
      </c>
      <c r="C340" s="320" t="s">
        <v>411</v>
      </c>
      <c r="D340" s="320" t="s">
        <v>146</v>
      </c>
      <c r="E340" s="320" t="s">
        <v>497</v>
      </c>
      <c r="F340" s="320" t="s">
        <v>133</v>
      </c>
      <c r="G340" s="64">
        <f>301683.2-197753.6-5350.2-25700-15000-5000</f>
        <v>52879.40000000001</v>
      </c>
      <c r="H340" s="64">
        <v>33286.42</v>
      </c>
      <c r="I340" s="64">
        <f>28626.12+33286.48</f>
        <v>61912.600000000006</v>
      </c>
      <c r="J340" s="64">
        <f>G340-H340</f>
        <v>19592.98000000001</v>
      </c>
    </row>
    <row r="341" spans="1:10" s="77" customFormat="1" ht="12.75">
      <c r="A341" s="37" t="s">
        <v>194</v>
      </c>
      <c r="B341" s="320" t="s">
        <v>65</v>
      </c>
      <c r="C341" s="320" t="s">
        <v>411</v>
      </c>
      <c r="D341" s="320" t="s">
        <v>146</v>
      </c>
      <c r="E341" s="320" t="s">
        <v>498</v>
      </c>
      <c r="F341" s="320" t="s">
        <v>130</v>
      </c>
      <c r="G341" s="64">
        <v>5350.2</v>
      </c>
      <c r="H341" s="64">
        <v>3290.7</v>
      </c>
      <c r="I341" s="64">
        <v>3290.7</v>
      </c>
      <c r="J341" s="64">
        <f>G341-H341</f>
        <v>2059.5</v>
      </c>
    </row>
    <row r="342" spans="1:10" s="77" customFormat="1" ht="25.5">
      <c r="A342" s="23" t="s">
        <v>474</v>
      </c>
      <c r="B342" s="320" t="s">
        <v>65</v>
      </c>
      <c r="C342" s="252" t="s">
        <v>411</v>
      </c>
      <c r="D342" s="252" t="s">
        <v>181</v>
      </c>
      <c r="E342" s="252" t="s">
        <v>453</v>
      </c>
      <c r="F342" s="252" t="s">
        <v>134</v>
      </c>
      <c r="G342" s="64">
        <f>32323.2-2323.2-30000</f>
        <v>0</v>
      </c>
      <c r="H342" s="64"/>
      <c r="I342" s="64"/>
      <c r="J342" s="64">
        <f>G342-H342</f>
        <v>0</v>
      </c>
    </row>
    <row r="343" spans="1:10" s="77" customFormat="1" ht="38.25">
      <c r="A343" s="234" t="s">
        <v>659</v>
      </c>
      <c r="B343" s="320" t="s">
        <v>661</v>
      </c>
      <c r="C343" s="347"/>
      <c r="D343" s="348"/>
      <c r="E343" s="348"/>
      <c r="F343" s="348"/>
      <c r="G343" s="349">
        <f>G344+G345+G346</f>
        <v>139420</v>
      </c>
      <c r="H343" s="349">
        <f>H344+H345+H346</f>
        <v>139420</v>
      </c>
      <c r="I343" s="349">
        <f>I344+I345+I346</f>
        <v>139420</v>
      </c>
      <c r="J343" s="349">
        <f>J344+J345+J346</f>
        <v>0</v>
      </c>
    </row>
    <row r="344" spans="1:10" s="77" customFormat="1" ht="15">
      <c r="A344" s="235" t="s">
        <v>183</v>
      </c>
      <c r="B344" s="320" t="s">
        <v>661</v>
      </c>
      <c r="C344" s="350" t="s">
        <v>660</v>
      </c>
      <c r="D344" s="351">
        <v>244</v>
      </c>
      <c r="E344" s="351">
        <v>222</v>
      </c>
      <c r="F344" s="351">
        <v>1125</v>
      </c>
      <c r="G344" s="352">
        <v>56678</v>
      </c>
      <c r="H344" s="352">
        <v>56678</v>
      </c>
      <c r="I344" s="352">
        <v>56678</v>
      </c>
      <c r="J344" s="353">
        <f>G344-H344</f>
        <v>0</v>
      </c>
    </row>
    <row r="345" spans="1:10" s="77" customFormat="1" ht="15">
      <c r="A345" s="235" t="s">
        <v>29</v>
      </c>
      <c r="B345" s="320" t="s">
        <v>661</v>
      </c>
      <c r="C345" s="350" t="s">
        <v>660</v>
      </c>
      <c r="D345" s="351">
        <v>244</v>
      </c>
      <c r="E345" s="351">
        <v>226</v>
      </c>
      <c r="F345" s="351">
        <v>1140</v>
      </c>
      <c r="G345" s="352">
        <v>72742</v>
      </c>
      <c r="H345" s="352">
        <v>72742</v>
      </c>
      <c r="I345" s="352">
        <v>72742</v>
      </c>
      <c r="J345" s="353">
        <f>G345-H345</f>
        <v>0</v>
      </c>
    </row>
    <row r="346" spans="1:10" s="77" customFormat="1" ht="15">
      <c r="A346" s="235" t="s">
        <v>41</v>
      </c>
      <c r="B346" s="320" t="s">
        <v>661</v>
      </c>
      <c r="C346" s="350" t="s">
        <v>660</v>
      </c>
      <c r="D346" s="351">
        <v>244</v>
      </c>
      <c r="E346" s="351">
        <v>346</v>
      </c>
      <c r="F346" s="351">
        <v>1123</v>
      </c>
      <c r="G346" s="352">
        <v>10000</v>
      </c>
      <c r="H346" s="352">
        <v>10000</v>
      </c>
      <c r="I346" s="352">
        <v>10000</v>
      </c>
      <c r="J346" s="353">
        <f>G346-H346</f>
        <v>0</v>
      </c>
    </row>
    <row r="347" spans="1:11" s="4" customFormat="1" ht="12.75">
      <c r="A347" s="34" t="s">
        <v>66</v>
      </c>
      <c r="B347" s="247" t="s">
        <v>67</v>
      </c>
      <c r="C347" s="250"/>
      <c r="D347" s="247"/>
      <c r="E347" s="247"/>
      <c r="F347" s="247"/>
      <c r="G347" s="52">
        <f>G349+G357+G364+G393+G404+G418+G356+G362</f>
        <v>42358442.330000006</v>
      </c>
      <c r="H347" s="52">
        <f>H349+H357+H364+H393+H404+H418+H356+H362</f>
        <v>19802238.880000003</v>
      </c>
      <c r="I347" s="52">
        <f>I349+I357+I364+I393+I404+I418+I356+I362</f>
        <v>23798314.750000004</v>
      </c>
      <c r="J347" s="52">
        <f>J349+J357+J364+J393+J404+J418+J356+J362</f>
        <v>22556203.450000003</v>
      </c>
      <c r="K347" s="86"/>
    </row>
    <row r="348" spans="1:10" s="56" customFormat="1" ht="12.75">
      <c r="A348" s="62" t="s">
        <v>171</v>
      </c>
      <c r="B348" s="251"/>
      <c r="C348" s="253"/>
      <c r="D348" s="251"/>
      <c r="E348" s="251"/>
      <c r="F348" s="251"/>
      <c r="G348" s="64"/>
      <c r="H348" s="64"/>
      <c r="I348" s="64"/>
      <c r="J348" s="64"/>
    </row>
    <row r="349" spans="1:10" s="56" customFormat="1" ht="51">
      <c r="A349" s="55" t="s">
        <v>267</v>
      </c>
      <c r="B349" s="251" t="s">
        <v>207</v>
      </c>
      <c r="C349" s="251" t="s">
        <v>257</v>
      </c>
      <c r="D349" s="251"/>
      <c r="E349" s="251"/>
      <c r="F349" s="251"/>
      <c r="G349" s="59">
        <f>G350</f>
        <v>924741</v>
      </c>
      <c r="H349" s="59">
        <f>H350</f>
        <v>537255</v>
      </c>
      <c r="I349" s="59">
        <f>I350</f>
        <v>786861.9299999999</v>
      </c>
      <c r="J349" s="59">
        <f>J350</f>
        <v>387486</v>
      </c>
    </row>
    <row r="350" spans="1:10" s="56" customFormat="1" ht="25.5">
      <c r="A350" s="104" t="s">
        <v>226</v>
      </c>
      <c r="B350" s="251" t="s">
        <v>207</v>
      </c>
      <c r="C350" s="251" t="s">
        <v>257</v>
      </c>
      <c r="D350" s="251" t="s">
        <v>146</v>
      </c>
      <c r="E350" s="251"/>
      <c r="F350" s="251"/>
      <c r="G350" s="59">
        <f>G351+G354+G355</f>
        <v>924741</v>
      </c>
      <c r="H350" s="59">
        <f>H351+H354+H355</f>
        <v>537255</v>
      </c>
      <c r="I350" s="59">
        <f>I351+I354+I355</f>
        <v>786861.9299999999</v>
      </c>
      <c r="J350" s="59">
        <f>J351+J354+J355</f>
        <v>387486</v>
      </c>
    </row>
    <row r="351" spans="1:10" s="56" customFormat="1" ht="12.75">
      <c r="A351" s="69" t="s">
        <v>29</v>
      </c>
      <c r="B351" s="252" t="s">
        <v>207</v>
      </c>
      <c r="C351" s="252" t="s">
        <v>268</v>
      </c>
      <c r="D351" s="252" t="s">
        <v>146</v>
      </c>
      <c r="E351" s="252" t="s">
        <v>30</v>
      </c>
      <c r="F351" s="252"/>
      <c r="G351" s="59">
        <f>G352+G353</f>
        <v>924741</v>
      </c>
      <c r="H351" s="59">
        <f>H352+H353</f>
        <v>537255</v>
      </c>
      <c r="I351" s="59">
        <f>I352+I353</f>
        <v>786861.9299999999</v>
      </c>
      <c r="J351" s="59">
        <f>J352+J353</f>
        <v>387486</v>
      </c>
    </row>
    <row r="352" spans="1:10" s="56" customFormat="1" ht="25.5">
      <c r="A352" s="69" t="s">
        <v>360</v>
      </c>
      <c r="B352" s="252" t="s">
        <v>207</v>
      </c>
      <c r="C352" s="252" t="s">
        <v>268</v>
      </c>
      <c r="D352" s="252" t="s">
        <v>146</v>
      </c>
      <c r="E352" s="252" t="s">
        <v>30</v>
      </c>
      <c r="F352" s="252" t="s">
        <v>128</v>
      </c>
      <c r="G352" s="64">
        <v>709253</v>
      </c>
      <c r="H352" s="64">
        <v>499350</v>
      </c>
      <c r="I352" s="64">
        <f>44*13610</f>
        <v>598840</v>
      </c>
      <c r="J352" s="64">
        <f>G352-H352</f>
        <v>209903</v>
      </c>
    </row>
    <row r="353" spans="1:12" s="56" customFormat="1" ht="25.5">
      <c r="A353" s="69" t="s">
        <v>361</v>
      </c>
      <c r="B353" s="252" t="s">
        <v>207</v>
      </c>
      <c r="C353" s="252" t="s">
        <v>359</v>
      </c>
      <c r="D353" s="252" t="s">
        <v>146</v>
      </c>
      <c r="E353" s="252" t="s">
        <v>30</v>
      </c>
      <c r="F353" s="252" t="s">
        <v>128</v>
      </c>
      <c r="G353" s="64">
        <v>215488</v>
      </c>
      <c r="H353" s="64">
        <v>37905</v>
      </c>
      <c r="I353" s="64">
        <f>37905+150116.93</f>
        <v>188021.93</v>
      </c>
      <c r="J353" s="59">
        <f>G353-H353</f>
        <v>177583</v>
      </c>
      <c r="K353" s="151"/>
      <c r="L353" s="77"/>
    </row>
    <row r="354" spans="1:10" s="56" customFormat="1" ht="12.75" hidden="1">
      <c r="A354" s="69"/>
      <c r="B354" s="252" t="s">
        <v>207</v>
      </c>
      <c r="C354" s="252" t="s">
        <v>359</v>
      </c>
      <c r="D354" s="252" t="s">
        <v>146</v>
      </c>
      <c r="E354" s="252" t="s">
        <v>39</v>
      </c>
      <c r="F354" s="252" t="s">
        <v>131</v>
      </c>
      <c r="G354" s="64"/>
      <c r="H354" s="64"/>
      <c r="I354" s="64"/>
      <c r="J354" s="64">
        <f>G354-H354</f>
        <v>0</v>
      </c>
    </row>
    <row r="355" spans="1:10" s="56" customFormat="1" ht="12.75" hidden="1">
      <c r="A355" s="69"/>
      <c r="B355" s="252" t="s">
        <v>207</v>
      </c>
      <c r="C355" s="252" t="s">
        <v>359</v>
      </c>
      <c r="D355" s="252" t="s">
        <v>146</v>
      </c>
      <c r="E355" s="252" t="s">
        <v>497</v>
      </c>
      <c r="F355" s="252" t="s">
        <v>133</v>
      </c>
      <c r="G355" s="64">
        <v>0</v>
      </c>
      <c r="H355" s="64"/>
      <c r="I355" s="64"/>
      <c r="J355" s="64">
        <f>G355-H355</f>
        <v>0</v>
      </c>
    </row>
    <row r="356" spans="1:10" s="56" customFormat="1" ht="12.75" hidden="1">
      <c r="A356" s="69" t="s">
        <v>516</v>
      </c>
      <c r="B356" s="252" t="s">
        <v>207</v>
      </c>
      <c r="C356" s="252" t="s">
        <v>610</v>
      </c>
      <c r="D356" s="252" t="s">
        <v>146</v>
      </c>
      <c r="E356" s="252" t="s">
        <v>21</v>
      </c>
      <c r="F356" s="252" t="s">
        <v>117</v>
      </c>
      <c r="G356" s="64">
        <v>0</v>
      </c>
      <c r="H356" s="64"/>
      <c r="I356" s="64"/>
      <c r="J356" s="64">
        <f>G356-H356</f>
        <v>0</v>
      </c>
    </row>
    <row r="357" spans="1:10" s="56" customFormat="1" ht="12.75" hidden="1">
      <c r="A357" s="55" t="s">
        <v>618</v>
      </c>
      <c r="B357" s="251" t="s">
        <v>101</v>
      </c>
      <c r="C357" s="251" t="s">
        <v>610</v>
      </c>
      <c r="D357" s="251"/>
      <c r="E357" s="251"/>
      <c r="F357" s="251"/>
      <c r="G357" s="59">
        <f>G359</f>
        <v>0</v>
      </c>
      <c r="H357" s="313">
        <f>H359</f>
        <v>0</v>
      </c>
      <c r="I357" s="313">
        <f>I359</f>
        <v>0</v>
      </c>
      <c r="J357" s="313">
        <f>J359</f>
        <v>0</v>
      </c>
    </row>
    <row r="358" spans="1:10" s="68" customFormat="1" ht="12.75" hidden="1">
      <c r="A358" s="390" t="s">
        <v>184</v>
      </c>
      <c r="B358" s="361" t="s">
        <v>101</v>
      </c>
      <c r="C358" s="330" t="s">
        <v>610</v>
      </c>
      <c r="D358" s="361" t="s">
        <v>146</v>
      </c>
      <c r="E358" s="361" t="s">
        <v>21</v>
      </c>
      <c r="F358" s="361" t="s">
        <v>117</v>
      </c>
      <c r="G358" s="307"/>
      <c r="H358" s="307"/>
      <c r="I358" s="307"/>
      <c r="J358" s="307"/>
    </row>
    <row r="359" spans="1:10" s="107" customFormat="1" ht="12.75" hidden="1">
      <c r="A359" s="102" t="s">
        <v>269</v>
      </c>
      <c r="B359" s="320" t="s">
        <v>101</v>
      </c>
      <c r="C359" s="252" t="s">
        <v>610</v>
      </c>
      <c r="D359" s="320" t="s">
        <v>188</v>
      </c>
      <c r="E359" s="323"/>
      <c r="F359" s="323"/>
      <c r="G359" s="64">
        <f>G360</f>
        <v>0</v>
      </c>
      <c r="H359" s="307"/>
      <c r="I359" s="307">
        <f>I360</f>
        <v>0</v>
      </c>
      <c r="J359" s="307">
        <f>J360</f>
        <v>0</v>
      </c>
    </row>
    <row r="360" spans="1:10" s="107" customFormat="1" ht="25.5" hidden="1">
      <c r="A360" s="102" t="s">
        <v>270</v>
      </c>
      <c r="B360" s="320" t="s">
        <v>101</v>
      </c>
      <c r="C360" s="252" t="s">
        <v>610</v>
      </c>
      <c r="D360" s="320" t="s">
        <v>444</v>
      </c>
      <c r="E360" s="320" t="s">
        <v>146</v>
      </c>
      <c r="F360" s="323"/>
      <c r="G360" s="64"/>
      <c r="H360" s="307"/>
      <c r="I360" s="307"/>
      <c r="J360" s="319">
        <f>G360-H360</f>
        <v>0</v>
      </c>
    </row>
    <row r="361" spans="1:10" s="107" customFormat="1" ht="12.75">
      <c r="A361" s="62" t="s">
        <v>171</v>
      </c>
      <c r="B361" s="320"/>
      <c r="C361" s="252"/>
      <c r="D361" s="320"/>
      <c r="E361" s="320"/>
      <c r="F361" s="323"/>
      <c r="G361" s="307"/>
      <c r="H361" s="307"/>
      <c r="I361" s="307"/>
      <c r="J361" s="319"/>
    </row>
    <row r="362" spans="1:10" s="107" customFormat="1" ht="25.5">
      <c r="A362" s="105" t="s">
        <v>515</v>
      </c>
      <c r="B362" s="256" t="s">
        <v>101</v>
      </c>
      <c r="C362" s="252" t="s">
        <v>610</v>
      </c>
      <c r="D362" s="252" t="s">
        <v>146</v>
      </c>
      <c r="E362" s="252" t="s">
        <v>21</v>
      </c>
      <c r="F362" s="252" t="s">
        <v>117</v>
      </c>
      <c r="G362" s="272">
        <f>5929152.32+19393.92+19860.26</f>
        <v>5968406.5</v>
      </c>
      <c r="H362" s="307">
        <f>5929152+13336+25838.5</f>
        <v>5968326.5</v>
      </c>
      <c r="I362" s="307">
        <f>5929152+13336+25918.5</f>
        <v>5968406.5</v>
      </c>
      <c r="J362" s="307">
        <f>G362-H362</f>
        <v>80</v>
      </c>
    </row>
    <row r="363" spans="1:10" s="56" customFormat="1" ht="12.75">
      <c r="A363" s="57" t="s">
        <v>172</v>
      </c>
      <c r="B363" s="251"/>
      <c r="C363" s="251"/>
      <c r="D363" s="251"/>
      <c r="E363" s="251"/>
      <c r="F363" s="251"/>
      <c r="G363" s="64"/>
      <c r="H363" s="64"/>
      <c r="I363" s="64"/>
      <c r="J363" s="133"/>
    </row>
    <row r="364" spans="1:14" s="56" customFormat="1" ht="25.5">
      <c r="A364" s="108" t="s">
        <v>481</v>
      </c>
      <c r="B364" s="258" t="s">
        <v>175</v>
      </c>
      <c r="C364" s="258" t="s">
        <v>412</v>
      </c>
      <c r="D364" s="258"/>
      <c r="E364" s="258"/>
      <c r="F364" s="258"/>
      <c r="G364" s="106">
        <f>G365+G375+G374</f>
        <v>34823069.120000005</v>
      </c>
      <c r="H364" s="106">
        <f>H365+H375+H374</f>
        <v>12674488.770000001</v>
      </c>
      <c r="I364" s="106">
        <f>I365+I375+I374</f>
        <v>16695820.610000001</v>
      </c>
      <c r="J364" s="106">
        <f>J365+J375+J374</f>
        <v>22148580.35</v>
      </c>
      <c r="K364" s="393">
        <f>G364-H364</f>
        <v>22148580.35</v>
      </c>
      <c r="L364" s="163"/>
      <c r="M364" s="163"/>
      <c r="N364" s="163"/>
    </row>
    <row r="365" spans="1:10" s="56" customFormat="1" ht="12.75" hidden="1">
      <c r="A365" s="60" t="s">
        <v>271</v>
      </c>
      <c r="B365" s="279" t="s">
        <v>175</v>
      </c>
      <c r="C365" s="251" t="s">
        <v>413</v>
      </c>
      <c r="D365" s="251"/>
      <c r="E365" s="251"/>
      <c r="F365" s="251"/>
      <c r="G365" s="313">
        <f>G366</f>
        <v>0</v>
      </c>
      <c r="H365" s="313">
        <f aca="true" t="shared" si="17" ref="H365:J366">H366</f>
        <v>0</v>
      </c>
      <c r="I365" s="313">
        <f t="shared" si="17"/>
        <v>0</v>
      </c>
      <c r="J365" s="313">
        <f t="shared" si="17"/>
        <v>0</v>
      </c>
    </row>
    <row r="366" spans="1:10" s="56" customFormat="1" ht="25.5" hidden="1">
      <c r="A366" s="104" t="s">
        <v>237</v>
      </c>
      <c r="B366" s="279" t="s">
        <v>175</v>
      </c>
      <c r="C366" s="252" t="s">
        <v>413</v>
      </c>
      <c r="D366" s="251" t="s">
        <v>219</v>
      </c>
      <c r="E366" s="252"/>
      <c r="F366" s="252"/>
      <c r="G366" s="313">
        <f>G367</f>
        <v>0</v>
      </c>
      <c r="H366" s="313">
        <f t="shared" si="17"/>
        <v>0</v>
      </c>
      <c r="I366" s="313">
        <f t="shared" si="17"/>
        <v>0</v>
      </c>
      <c r="J366" s="313">
        <f t="shared" si="17"/>
        <v>0</v>
      </c>
    </row>
    <row r="367" spans="1:11" s="56" customFormat="1" ht="25.5" hidden="1">
      <c r="A367" s="104" t="s">
        <v>226</v>
      </c>
      <c r="B367" s="279" t="s">
        <v>175</v>
      </c>
      <c r="C367" s="252" t="s">
        <v>413</v>
      </c>
      <c r="D367" s="251" t="s">
        <v>146</v>
      </c>
      <c r="E367" s="252"/>
      <c r="F367" s="252"/>
      <c r="G367" s="313">
        <f>G368</f>
        <v>0</v>
      </c>
      <c r="H367" s="313">
        <f>H368</f>
        <v>0</v>
      </c>
      <c r="I367" s="313">
        <f>I368</f>
        <v>0</v>
      </c>
      <c r="J367" s="313">
        <f>J368</f>
        <v>0</v>
      </c>
      <c r="K367" s="81"/>
    </row>
    <row r="368" spans="1:10" s="56" customFormat="1" ht="25.5" hidden="1">
      <c r="A368" s="21" t="s">
        <v>272</v>
      </c>
      <c r="B368" s="256" t="s">
        <v>175</v>
      </c>
      <c r="C368" s="252" t="s">
        <v>413</v>
      </c>
      <c r="D368" s="252" t="s">
        <v>146</v>
      </c>
      <c r="E368" s="252" t="s">
        <v>27</v>
      </c>
      <c r="F368" s="252"/>
      <c r="G368" s="272">
        <f>G369+G372+G373</f>
        <v>0</v>
      </c>
      <c r="H368" s="272">
        <f>H369+H372+H373</f>
        <v>0</v>
      </c>
      <c r="I368" s="272">
        <f>I369+I372+I373</f>
        <v>0</v>
      </c>
      <c r="J368" s="272">
        <f>J369+J372+J373</f>
        <v>0</v>
      </c>
    </row>
    <row r="369" spans="1:15" s="56" customFormat="1" ht="38.25" hidden="1">
      <c r="A369" s="21" t="s">
        <v>300</v>
      </c>
      <c r="B369" s="256" t="s">
        <v>175</v>
      </c>
      <c r="C369" s="252" t="s">
        <v>413</v>
      </c>
      <c r="D369" s="252" t="s">
        <v>146</v>
      </c>
      <c r="E369" s="252" t="s">
        <v>27</v>
      </c>
      <c r="F369" s="252" t="s">
        <v>122</v>
      </c>
      <c r="G369" s="64">
        <v>0</v>
      </c>
      <c r="H369" s="64"/>
      <c r="I369" s="64"/>
      <c r="J369" s="354"/>
      <c r="K369" s="81"/>
      <c r="L369" s="81"/>
      <c r="M369" s="81"/>
      <c r="N369" s="81"/>
      <c r="O369" s="81"/>
    </row>
    <row r="370" spans="1:10" s="68" customFormat="1" ht="25.5" hidden="1">
      <c r="A370" s="391" t="s">
        <v>191</v>
      </c>
      <c r="B370" s="361" t="s">
        <v>88</v>
      </c>
      <c r="C370" s="330" t="s">
        <v>413</v>
      </c>
      <c r="D370" s="361" t="s">
        <v>146</v>
      </c>
      <c r="E370" s="361" t="s">
        <v>39</v>
      </c>
      <c r="F370" s="361" t="s">
        <v>131</v>
      </c>
      <c r="G370" s="362"/>
      <c r="H370" s="362"/>
      <c r="I370" s="362"/>
      <c r="J370" s="392"/>
    </row>
    <row r="371" spans="1:10" s="68" customFormat="1" ht="25.5" hidden="1">
      <c r="A371" s="390" t="s">
        <v>192</v>
      </c>
      <c r="B371" s="361" t="s">
        <v>88</v>
      </c>
      <c r="C371" s="330" t="s">
        <v>413</v>
      </c>
      <c r="D371" s="361" t="s">
        <v>146</v>
      </c>
      <c r="E371" s="361" t="s">
        <v>42</v>
      </c>
      <c r="F371" s="361" t="s">
        <v>193</v>
      </c>
      <c r="G371" s="307"/>
      <c r="H371" s="307"/>
      <c r="I371" s="307"/>
      <c r="J371" s="392"/>
    </row>
    <row r="372" spans="1:10" s="107" customFormat="1" ht="38.25" hidden="1">
      <c r="A372" s="21" t="s">
        <v>358</v>
      </c>
      <c r="B372" s="320" t="s">
        <v>175</v>
      </c>
      <c r="C372" s="252" t="s">
        <v>413</v>
      </c>
      <c r="D372" s="320" t="s">
        <v>146</v>
      </c>
      <c r="E372" s="320" t="s">
        <v>27</v>
      </c>
      <c r="F372" s="320" t="s">
        <v>122</v>
      </c>
      <c r="G372" s="307">
        <v>0</v>
      </c>
      <c r="H372" s="307"/>
      <c r="I372" s="307"/>
      <c r="J372" s="355"/>
    </row>
    <row r="373" spans="1:11" s="107" customFormat="1" ht="51" hidden="1">
      <c r="A373" s="21" t="s">
        <v>464</v>
      </c>
      <c r="B373" s="320" t="s">
        <v>175</v>
      </c>
      <c r="C373" s="252" t="s">
        <v>413</v>
      </c>
      <c r="D373" s="320" t="s">
        <v>146</v>
      </c>
      <c r="E373" s="320" t="s">
        <v>27</v>
      </c>
      <c r="F373" s="320" t="s">
        <v>122</v>
      </c>
      <c r="G373" s="307"/>
      <c r="H373" s="307"/>
      <c r="I373" s="307"/>
      <c r="J373" s="319">
        <f>G373-H373</f>
        <v>0</v>
      </c>
      <c r="K373" s="152"/>
    </row>
    <row r="374" spans="1:10" s="107" customFormat="1" ht="25.5" hidden="1">
      <c r="A374" s="356" t="s">
        <v>461</v>
      </c>
      <c r="B374" s="320" t="s">
        <v>175</v>
      </c>
      <c r="C374" s="252" t="s">
        <v>462</v>
      </c>
      <c r="D374" s="320" t="s">
        <v>146</v>
      </c>
      <c r="E374" s="357" t="s">
        <v>463</v>
      </c>
      <c r="F374" s="320" t="s">
        <v>122</v>
      </c>
      <c r="G374" s="307"/>
      <c r="H374" s="307"/>
      <c r="I374" s="307"/>
      <c r="J374" s="319">
        <f>G374-H374</f>
        <v>0</v>
      </c>
    </row>
    <row r="375" spans="1:13" s="85" customFormat="1" ht="25.5">
      <c r="A375" s="31" t="s">
        <v>273</v>
      </c>
      <c r="B375" s="279" t="s">
        <v>175</v>
      </c>
      <c r="C375" s="251" t="s">
        <v>414</v>
      </c>
      <c r="D375" s="251"/>
      <c r="E375" s="251"/>
      <c r="F375" s="251"/>
      <c r="G375" s="59">
        <f>G376+G387+G388</f>
        <v>34823069.120000005</v>
      </c>
      <c r="H375" s="59">
        <f>H376+H387+H388</f>
        <v>12674488.770000001</v>
      </c>
      <c r="I375" s="59">
        <f>I376+I387+I388</f>
        <v>16695820.610000001</v>
      </c>
      <c r="J375" s="59">
        <f>J376+J387+J388</f>
        <v>22148580.35</v>
      </c>
      <c r="K375" s="156"/>
      <c r="L375" s="56"/>
      <c r="M375" s="56"/>
    </row>
    <row r="376" spans="1:13" s="85" customFormat="1" ht="25.5">
      <c r="A376" s="104" t="s">
        <v>237</v>
      </c>
      <c r="B376" s="279" t="s">
        <v>175</v>
      </c>
      <c r="C376" s="251" t="s">
        <v>414</v>
      </c>
      <c r="D376" s="251" t="s">
        <v>219</v>
      </c>
      <c r="E376" s="252"/>
      <c r="F376" s="252"/>
      <c r="G376" s="272">
        <f>G377</f>
        <v>31348069.120000005</v>
      </c>
      <c r="H376" s="272">
        <f>H377</f>
        <v>12674488.770000001</v>
      </c>
      <c r="I376" s="272">
        <f>I377</f>
        <v>16695820.610000001</v>
      </c>
      <c r="J376" s="272">
        <f>J377</f>
        <v>18673580.35</v>
      </c>
      <c r="K376" s="56"/>
      <c r="L376" s="56"/>
      <c r="M376" s="56"/>
    </row>
    <row r="377" spans="1:13" s="85" customFormat="1" ht="25.5">
      <c r="A377" s="104" t="s">
        <v>226</v>
      </c>
      <c r="B377" s="279" t="s">
        <v>175</v>
      </c>
      <c r="C377" s="251" t="s">
        <v>414</v>
      </c>
      <c r="D377" s="251" t="s">
        <v>146</v>
      </c>
      <c r="E377" s="252"/>
      <c r="F377" s="252"/>
      <c r="G377" s="64">
        <f>G378+G384+G381+G390+G391+G389</f>
        <v>31348069.120000005</v>
      </c>
      <c r="H377" s="64">
        <f>H378+H381+H384+H387+H388+H389+H390+H391</f>
        <v>12674488.770000001</v>
      </c>
      <c r="I377" s="64">
        <f>I378+I384+I381+I390+I391+I389</f>
        <v>16695820.610000001</v>
      </c>
      <c r="J377" s="64">
        <f>J378+J384+J381+J390+J391+J389</f>
        <v>18673580.35</v>
      </c>
      <c r="K377" s="56"/>
      <c r="L377" s="56"/>
      <c r="M377" s="56"/>
    </row>
    <row r="378" spans="1:13" s="85" customFormat="1" ht="25.5">
      <c r="A378" s="21" t="s">
        <v>272</v>
      </c>
      <c r="B378" s="256" t="s">
        <v>175</v>
      </c>
      <c r="C378" s="252" t="s">
        <v>414</v>
      </c>
      <c r="D378" s="252" t="s">
        <v>146</v>
      </c>
      <c r="E378" s="252" t="s">
        <v>27</v>
      </c>
      <c r="F378" s="252"/>
      <c r="G378" s="272">
        <f>G380+G379</f>
        <v>23128922.240000002</v>
      </c>
      <c r="H378" s="272">
        <f>H380+H379</f>
        <v>10043363.09</v>
      </c>
      <c r="I378" s="272">
        <f>I380+I379</f>
        <v>10075322.24</v>
      </c>
      <c r="J378" s="272">
        <f>J380+J379</f>
        <v>13085559.15</v>
      </c>
      <c r="K378" s="56"/>
      <c r="L378" s="56"/>
      <c r="M378" s="56"/>
    </row>
    <row r="379" spans="1:13" s="85" customFormat="1" ht="12.75">
      <c r="A379" s="21" t="s">
        <v>517</v>
      </c>
      <c r="B379" s="256" t="s">
        <v>175</v>
      </c>
      <c r="C379" s="252" t="s">
        <v>414</v>
      </c>
      <c r="D379" s="252" t="s">
        <v>146</v>
      </c>
      <c r="E379" s="252" t="s">
        <v>27</v>
      </c>
      <c r="F379" s="252" t="s">
        <v>122</v>
      </c>
      <c r="G379" s="272">
        <f>14000000-500000-3475000+3028600</f>
        <v>13053600</v>
      </c>
      <c r="H379" s="64">
        <v>0</v>
      </c>
      <c r="I379" s="64"/>
      <c r="J379" s="272">
        <f>G379-H379</f>
        <v>13053600</v>
      </c>
      <c r="K379" s="56"/>
      <c r="L379" s="56"/>
      <c r="M379" s="56"/>
    </row>
    <row r="380" spans="1:13" s="85" customFormat="1" ht="25.5">
      <c r="A380" s="105" t="s">
        <v>274</v>
      </c>
      <c r="B380" s="256" t="s">
        <v>175</v>
      </c>
      <c r="C380" s="252" t="s">
        <v>414</v>
      </c>
      <c r="D380" s="252" t="s">
        <v>146</v>
      </c>
      <c r="E380" s="252" t="s">
        <v>27</v>
      </c>
      <c r="F380" s="252" t="s">
        <v>124</v>
      </c>
      <c r="G380" s="64">
        <f>10627043.92-551721.68</f>
        <v>10075322.24</v>
      </c>
      <c r="H380" s="64">
        <v>10043363.09</v>
      </c>
      <c r="I380" s="64">
        <f>1431683.18+8643639.06</f>
        <v>10075322.24</v>
      </c>
      <c r="J380" s="64">
        <f>G380-H380</f>
        <v>31959.150000000373</v>
      </c>
      <c r="K380" s="140"/>
      <c r="L380" s="140"/>
      <c r="M380" s="56"/>
    </row>
    <row r="381" spans="1:13" s="85" customFormat="1" ht="12.75">
      <c r="A381" s="105"/>
      <c r="B381" s="256" t="s">
        <v>175</v>
      </c>
      <c r="C381" s="252" t="s">
        <v>414</v>
      </c>
      <c r="D381" s="252" t="s">
        <v>146</v>
      </c>
      <c r="E381" s="252" t="s">
        <v>30</v>
      </c>
      <c r="F381" s="252"/>
      <c r="G381" s="64">
        <f>G382+G383</f>
        <v>4635031.24</v>
      </c>
      <c r="H381" s="64">
        <f>H382+H383</f>
        <v>0</v>
      </c>
      <c r="I381" s="64">
        <f>I382+I383</f>
        <v>3068625</v>
      </c>
      <c r="J381" s="64">
        <f>J382+J383</f>
        <v>4635031.24</v>
      </c>
      <c r="K381" s="56"/>
      <c r="L381" s="56"/>
      <c r="M381" s="56"/>
    </row>
    <row r="382" spans="1:13" s="222" customFormat="1" ht="25.5">
      <c r="A382" s="220" t="s">
        <v>655</v>
      </c>
      <c r="B382" s="330" t="s">
        <v>175</v>
      </c>
      <c r="C382" s="330" t="s">
        <v>414</v>
      </c>
      <c r="D382" s="330" t="s">
        <v>146</v>
      </c>
      <c r="E382" s="330" t="s">
        <v>30</v>
      </c>
      <c r="F382" s="330" t="s">
        <v>375</v>
      </c>
      <c r="G382" s="307">
        <f>6000000-2975000</f>
        <v>3025000</v>
      </c>
      <c r="H382" s="307"/>
      <c r="I382" s="307">
        <f>3025000-1134375</f>
        <v>1890625</v>
      </c>
      <c r="J382" s="307">
        <f>G382-H382</f>
        <v>3025000</v>
      </c>
      <c r="K382" s="146"/>
      <c r="L382" s="221"/>
      <c r="M382" s="221"/>
    </row>
    <row r="383" spans="1:13" s="222" customFormat="1" ht="12.75">
      <c r="A383" s="220" t="s">
        <v>29</v>
      </c>
      <c r="B383" s="330" t="s">
        <v>175</v>
      </c>
      <c r="C383" s="330" t="s">
        <v>414</v>
      </c>
      <c r="D383" s="330" t="s">
        <v>146</v>
      </c>
      <c r="E383" s="330" t="s">
        <v>30</v>
      </c>
      <c r="F383" s="330" t="s">
        <v>128</v>
      </c>
      <c r="G383" s="307">
        <f>657369.7+1205506+717209.68-448054.5-87683-434316.64</f>
        <v>1610031.2399999998</v>
      </c>
      <c r="H383" s="307"/>
      <c r="I383" s="307">
        <v>1178000</v>
      </c>
      <c r="J383" s="307">
        <f>G383-H383</f>
        <v>1610031.2399999998</v>
      </c>
      <c r="K383" s="214"/>
      <c r="L383" s="221"/>
      <c r="M383" s="221"/>
    </row>
    <row r="384" spans="1:13" s="222" customFormat="1" ht="12.75">
      <c r="A384" s="223" t="s">
        <v>275</v>
      </c>
      <c r="B384" s="330" t="s">
        <v>175</v>
      </c>
      <c r="C384" s="330" t="s">
        <v>414</v>
      </c>
      <c r="D384" s="330" t="s">
        <v>146</v>
      </c>
      <c r="E384" s="330" t="s">
        <v>37</v>
      </c>
      <c r="F384" s="330"/>
      <c r="G384" s="307">
        <f>G385+G386</f>
        <v>196313.64</v>
      </c>
      <c r="H384" s="307">
        <f>H385+H386</f>
        <v>195083.64</v>
      </c>
      <c r="I384" s="307">
        <f>I385+I386</f>
        <v>195083.64</v>
      </c>
      <c r="J384" s="307">
        <f>J385+J386</f>
        <v>1230</v>
      </c>
      <c r="K384" s="221"/>
      <c r="L384" s="221"/>
      <c r="M384" s="221"/>
    </row>
    <row r="385" spans="1:13" s="222" customFormat="1" ht="12.75">
      <c r="A385" s="157" t="s">
        <v>138</v>
      </c>
      <c r="B385" s="330" t="s">
        <v>175</v>
      </c>
      <c r="C385" s="330" t="s">
        <v>414</v>
      </c>
      <c r="D385" s="330" t="s">
        <v>146</v>
      </c>
      <c r="E385" s="330" t="s">
        <v>39</v>
      </c>
      <c r="F385" s="330" t="s">
        <v>131</v>
      </c>
      <c r="G385" s="307">
        <f>215488-165488+45628</f>
        <v>95628</v>
      </c>
      <c r="H385" s="307">
        <v>94398</v>
      </c>
      <c r="I385" s="307">
        <v>94398</v>
      </c>
      <c r="J385" s="307">
        <f aca="true" t="shared" si="18" ref="J385:J391">G385-H385</f>
        <v>1230</v>
      </c>
      <c r="K385" s="146"/>
      <c r="L385" s="221"/>
      <c r="M385" s="221"/>
    </row>
    <row r="386" spans="1:13" s="222" customFormat="1" ht="25.5">
      <c r="A386" s="157" t="s">
        <v>415</v>
      </c>
      <c r="B386" s="330" t="s">
        <v>175</v>
      </c>
      <c r="C386" s="330" t="s">
        <v>414</v>
      </c>
      <c r="D386" s="330" t="s">
        <v>146</v>
      </c>
      <c r="E386" s="330" t="s">
        <v>513</v>
      </c>
      <c r="F386" s="330" t="s">
        <v>193</v>
      </c>
      <c r="G386" s="307">
        <f>87683+13002.64</f>
        <v>100685.64</v>
      </c>
      <c r="H386" s="307">
        <v>100685.64</v>
      </c>
      <c r="I386" s="307">
        <v>100685.64</v>
      </c>
      <c r="J386" s="307">
        <f t="shared" si="18"/>
        <v>0</v>
      </c>
      <c r="K386" s="146"/>
      <c r="L386" s="221"/>
      <c r="M386" s="221"/>
    </row>
    <row r="387" spans="1:13" s="222" customFormat="1" ht="12.75">
      <c r="A387" s="157" t="s">
        <v>650</v>
      </c>
      <c r="B387" s="330" t="s">
        <v>175</v>
      </c>
      <c r="C387" s="330" t="s">
        <v>414</v>
      </c>
      <c r="D387" s="330" t="s">
        <v>146</v>
      </c>
      <c r="E387" s="330" t="s">
        <v>529</v>
      </c>
      <c r="F387" s="330" t="s">
        <v>375</v>
      </c>
      <c r="G387" s="307">
        <f>3475000-3475000</f>
        <v>0</v>
      </c>
      <c r="H387" s="307"/>
      <c r="I387" s="307"/>
      <c r="J387" s="307">
        <f>G387-H387</f>
        <v>0</v>
      </c>
      <c r="L387" s="221"/>
      <c r="M387" s="221"/>
    </row>
    <row r="388" spans="1:13" s="222" customFormat="1" ht="12.75">
      <c r="A388" s="157" t="s">
        <v>650</v>
      </c>
      <c r="B388" s="330" t="s">
        <v>175</v>
      </c>
      <c r="C388" s="330" t="s">
        <v>414</v>
      </c>
      <c r="D388" s="330" t="s">
        <v>186</v>
      </c>
      <c r="E388" s="330" t="s">
        <v>30</v>
      </c>
      <c r="F388" s="330" t="s">
        <v>375</v>
      </c>
      <c r="G388" s="307">
        <v>3475000</v>
      </c>
      <c r="H388" s="307">
        <v>0</v>
      </c>
      <c r="I388" s="307">
        <f>H388</f>
        <v>0</v>
      </c>
      <c r="J388" s="307">
        <f>G388-H388</f>
        <v>3475000</v>
      </c>
      <c r="K388" s="146"/>
      <c r="L388" s="221"/>
      <c r="M388" s="221"/>
    </row>
    <row r="389" spans="1:13" s="222" customFormat="1" ht="12.75">
      <c r="A389" s="157" t="s">
        <v>654</v>
      </c>
      <c r="B389" s="330" t="s">
        <v>175</v>
      </c>
      <c r="C389" s="330" t="s">
        <v>414</v>
      </c>
      <c r="D389" s="330" t="s">
        <v>186</v>
      </c>
      <c r="E389" s="330" t="s">
        <v>30</v>
      </c>
      <c r="F389" s="330" t="s">
        <v>128</v>
      </c>
      <c r="G389" s="307">
        <f>446400-45628</f>
        <v>400772</v>
      </c>
      <c r="H389" s="307">
        <v>237000</v>
      </c>
      <c r="I389" s="307">
        <v>372000</v>
      </c>
      <c r="J389" s="307">
        <f>G389-H389</f>
        <v>163772</v>
      </c>
      <c r="K389" s="146"/>
      <c r="L389" s="221"/>
      <c r="M389" s="221"/>
    </row>
    <row r="390" spans="1:13" s="222" customFormat="1" ht="38.25">
      <c r="A390" s="157" t="s">
        <v>637</v>
      </c>
      <c r="B390" s="330" t="s">
        <v>175</v>
      </c>
      <c r="C390" s="330" t="s">
        <v>636</v>
      </c>
      <c r="D390" s="330" t="s">
        <v>146</v>
      </c>
      <c r="E390" s="330" t="s">
        <v>30</v>
      </c>
      <c r="F390" s="330" t="s">
        <v>375</v>
      </c>
      <c r="G390" s="307">
        <v>2538975.5</v>
      </c>
      <c r="H390" s="307">
        <v>1869185.73</v>
      </c>
      <c r="I390" s="307">
        <v>2538975.5</v>
      </c>
      <c r="J390" s="307">
        <f t="shared" si="18"/>
        <v>669789.77</v>
      </c>
      <c r="K390" s="146"/>
      <c r="L390" s="221"/>
      <c r="M390" s="221"/>
    </row>
    <row r="391" spans="1:13" s="222" customFormat="1" ht="51">
      <c r="A391" s="157" t="s">
        <v>639</v>
      </c>
      <c r="B391" s="330" t="s">
        <v>175</v>
      </c>
      <c r="C391" s="330" t="s">
        <v>638</v>
      </c>
      <c r="D391" s="330" t="s">
        <v>146</v>
      </c>
      <c r="E391" s="330" t="s">
        <v>30</v>
      </c>
      <c r="F391" s="330" t="s">
        <v>375</v>
      </c>
      <c r="G391" s="307">
        <v>448054.5</v>
      </c>
      <c r="H391" s="307">
        <v>329856.31</v>
      </c>
      <c r="I391" s="307">
        <v>445814.23</v>
      </c>
      <c r="J391" s="307">
        <f t="shared" si="18"/>
        <v>118198.19</v>
      </c>
      <c r="K391" s="146"/>
      <c r="L391" s="221"/>
      <c r="M391" s="221"/>
    </row>
    <row r="392" spans="1:10" s="56" customFormat="1" ht="25.5">
      <c r="A392" s="22" t="s">
        <v>276</v>
      </c>
      <c r="B392" s="279" t="s">
        <v>68</v>
      </c>
      <c r="C392" s="256"/>
      <c r="D392" s="256"/>
      <c r="E392" s="256"/>
      <c r="F392" s="256"/>
      <c r="G392" s="64"/>
      <c r="H392" s="64"/>
      <c r="I392" s="64"/>
      <c r="J392" s="133"/>
    </row>
    <row r="393" spans="1:11" s="56" customFormat="1" ht="38.25">
      <c r="A393" s="108" t="s">
        <v>482</v>
      </c>
      <c r="B393" s="258" t="s">
        <v>68</v>
      </c>
      <c r="C393" s="258" t="s">
        <v>416</v>
      </c>
      <c r="D393" s="258"/>
      <c r="E393" s="258"/>
      <c r="F393" s="258"/>
      <c r="G393" s="106">
        <f>G399+G402+G403</f>
        <v>300000</v>
      </c>
      <c r="H393" s="106">
        <f>H399+H402</f>
        <v>279942.9</v>
      </c>
      <c r="I393" s="106">
        <f>I399+I402</f>
        <v>0</v>
      </c>
      <c r="J393" s="106">
        <f>J399+J402+J403</f>
        <v>20057.099999999977</v>
      </c>
      <c r="K393" s="156"/>
    </row>
    <row r="394" spans="1:10" s="3" customFormat="1" ht="12.75">
      <c r="A394" s="22" t="s">
        <v>16</v>
      </c>
      <c r="B394" s="274" t="s">
        <v>70</v>
      </c>
      <c r="C394" s="274" t="s">
        <v>71</v>
      </c>
      <c r="D394" s="274" t="s">
        <v>69</v>
      </c>
      <c r="E394" s="279" t="s">
        <v>17</v>
      </c>
      <c r="F394" s="279"/>
      <c r="G394" s="272"/>
      <c r="H394" s="272"/>
      <c r="I394" s="272"/>
      <c r="J394" s="272"/>
    </row>
    <row r="395" spans="1:10" s="3" customFormat="1" ht="12.75">
      <c r="A395" s="37" t="s">
        <v>18</v>
      </c>
      <c r="B395" s="265" t="s">
        <v>70</v>
      </c>
      <c r="C395" s="265" t="s">
        <v>71</v>
      </c>
      <c r="D395" s="265" t="s">
        <v>69</v>
      </c>
      <c r="E395" s="296" t="s">
        <v>19</v>
      </c>
      <c r="F395" s="296"/>
      <c r="G395" s="272"/>
      <c r="H395" s="272"/>
      <c r="I395" s="272"/>
      <c r="J395" s="272"/>
    </row>
    <row r="396" spans="1:10" s="3" customFormat="1" ht="12.75">
      <c r="A396" s="37" t="s">
        <v>20</v>
      </c>
      <c r="B396" s="265" t="s">
        <v>70</v>
      </c>
      <c r="C396" s="265" t="s">
        <v>71</v>
      </c>
      <c r="D396" s="265" t="s">
        <v>69</v>
      </c>
      <c r="E396" s="296" t="s">
        <v>21</v>
      </c>
      <c r="F396" s="296"/>
      <c r="G396" s="272"/>
      <c r="H396" s="272"/>
      <c r="I396" s="272"/>
      <c r="J396" s="272"/>
    </row>
    <row r="397" spans="1:10" s="3" customFormat="1" ht="25.5">
      <c r="A397" s="27" t="s">
        <v>22</v>
      </c>
      <c r="B397" s="262"/>
      <c r="C397" s="262"/>
      <c r="D397" s="262"/>
      <c r="E397" s="262"/>
      <c r="F397" s="262" t="s">
        <v>15</v>
      </c>
      <c r="G397" s="272"/>
      <c r="H397" s="272"/>
      <c r="I397" s="272"/>
      <c r="J397" s="272"/>
    </row>
    <row r="398" spans="1:10" s="5" customFormat="1" ht="12.75">
      <c r="A398" s="23"/>
      <c r="B398" s="256"/>
      <c r="C398" s="256"/>
      <c r="D398" s="256"/>
      <c r="E398" s="256"/>
      <c r="F398" s="256"/>
      <c r="G398" s="272"/>
      <c r="H398" s="272"/>
      <c r="I398" s="272"/>
      <c r="J398" s="272"/>
    </row>
    <row r="399" spans="1:10" s="5" customFormat="1" ht="25.5">
      <c r="A399" s="22" t="s">
        <v>277</v>
      </c>
      <c r="B399" s="279" t="s">
        <v>68</v>
      </c>
      <c r="C399" s="279" t="s">
        <v>417</v>
      </c>
      <c r="D399" s="279"/>
      <c r="E399" s="279"/>
      <c r="F399" s="279"/>
      <c r="G399" s="313">
        <f>G400</f>
        <v>300000</v>
      </c>
      <c r="H399" s="313">
        <f aca="true" t="shared" si="19" ref="H399:J400">H400</f>
        <v>279942.9</v>
      </c>
      <c r="I399" s="313">
        <f t="shared" si="19"/>
        <v>0</v>
      </c>
      <c r="J399" s="313">
        <f t="shared" si="19"/>
        <v>20057.099999999977</v>
      </c>
    </row>
    <row r="400" spans="1:10" s="5" customFormat="1" ht="25.5">
      <c r="A400" s="23" t="s">
        <v>278</v>
      </c>
      <c r="B400" s="256" t="s">
        <v>68</v>
      </c>
      <c r="C400" s="256" t="s">
        <v>417</v>
      </c>
      <c r="D400" s="256" t="s">
        <v>188</v>
      </c>
      <c r="E400" s="256"/>
      <c r="F400" s="256"/>
      <c r="G400" s="272">
        <f>G401</f>
        <v>300000</v>
      </c>
      <c r="H400" s="272">
        <f t="shared" si="19"/>
        <v>279942.9</v>
      </c>
      <c r="I400" s="272">
        <f t="shared" si="19"/>
        <v>0</v>
      </c>
      <c r="J400" s="272">
        <f t="shared" si="19"/>
        <v>20057.099999999977</v>
      </c>
    </row>
    <row r="401" spans="1:10" s="5" customFormat="1" ht="25.5">
      <c r="A401" s="23" t="s">
        <v>279</v>
      </c>
      <c r="B401" s="256" t="s">
        <v>68</v>
      </c>
      <c r="C401" s="256" t="s">
        <v>417</v>
      </c>
      <c r="D401" s="256" t="s">
        <v>444</v>
      </c>
      <c r="E401" s="256" t="s">
        <v>62</v>
      </c>
      <c r="F401" s="256"/>
      <c r="G401" s="64">
        <v>300000</v>
      </c>
      <c r="H401" s="272">
        <v>279942.9</v>
      </c>
      <c r="I401" s="272"/>
      <c r="J401" s="272">
        <f>G401-H401</f>
        <v>20057.099999999977</v>
      </c>
    </row>
    <row r="402" spans="1:12" s="5" customFormat="1" ht="12.75">
      <c r="A402" s="23" t="s">
        <v>568</v>
      </c>
      <c r="B402" s="256" t="s">
        <v>68</v>
      </c>
      <c r="C402" s="256" t="s">
        <v>567</v>
      </c>
      <c r="D402" s="256" t="s">
        <v>444</v>
      </c>
      <c r="E402" s="256" t="s">
        <v>62</v>
      </c>
      <c r="F402" s="256"/>
      <c r="G402" s="64">
        <v>0</v>
      </c>
      <c r="H402" s="272"/>
      <c r="I402" s="272"/>
      <c r="J402" s="313">
        <f>G402-H402</f>
        <v>0</v>
      </c>
      <c r="K402" s="184"/>
      <c r="L402" s="184"/>
    </row>
    <row r="403" spans="1:12" s="5" customFormat="1" ht="12.75">
      <c r="A403" s="23" t="s">
        <v>574</v>
      </c>
      <c r="B403" s="256" t="s">
        <v>68</v>
      </c>
      <c r="C403" s="256" t="s">
        <v>567</v>
      </c>
      <c r="D403" s="256" t="s">
        <v>444</v>
      </c>
      <c r="E403" s="256" t="s">
        <v>62</v>
      </c>
      <c r="F403" s="256"/>
      <c r="G403" s="64">
        <v>0</v>
      </c>
      <c r="H403" s="272"/>
      <c r="I403" s="272"/>
      <c r="J403" s="313">
        <f>G403-H403</f>
        <v>0</v>
      </c>
      <c r="K403" s="184"/>
      <c r="L403" s="184"/>
    </row>
    <row r="404" spans="1:10" s="5" customFormat="1" ht="25.5">
      <c r="A404" s="100" t="s">
        <v>475</v>
      </c>
      <c r="B404" s="258" t="s">
        <v>68</v>
      </c>
      <c r="C404" s="258" t="s">
        <v>405</v>
      </c>
      <c r="D404" s="358"/>
      <c r="E404" s="358"/>
      <c r="F404" s="358"/>
      <c r="G404" s="106">
        <f>G405</f>
        <v>342225.70999999996</v>
      </c>
      <c r="H404" s="106">
        <f>H405</f>
        <v>342225.70999999996</v>
      </c>
      <c r="I404" s="106">
        <f>I405</f>
        <v>347225.70999999996</v>
      </c>
      <c r="J404" s="106">
        <f>J405</f>
        <v>0</v>
      </c>
    </row>
    <row r="405" spans="1:10" s="5" customFormat="1" ht="12.75">
      <c r="A405" s="22" t="s">
        <v>280</v>
      </c>
      <c r="B405" s="279" t="s">
        <v>68</v>
      </c>
      <c r="C405" s="279" t="s">
        <v>418</v>
      </c>
      <c r="D405" s="279"/>
      <c r="E405" s="279"/>
      <c r="F405" s="279"/>
      <c r="G405" s="313">
        <f>G406+G411</f>
        <v>342225.70999999996</v>
      </c>
      <c r="H405" s="313">
        <f>H406+H411</f>
        <v>342225.70999999996</v>
      </c>
      <c r="I405" s="313">
        <f>I406+I411</f>
        <v>347225.70999999996</v>
      </c>
      <c r="J405" s="313">
        <f>J406+J411</f>
        <v>0</v>
      </c>
    </row>
    <row r="406" spans="1:10" s="5" customFormat="1" ht="38.25">
      <c r="A406" s="22" t="s">
        <v>281</v>
      </c>
      <c r="B406" s="279" t="s">
        <v>68</v>
      </c>
      <c r="C406" s="279" t="s">
        <v>420</v>
      </c>
      <c r="D406" s="279"/>
      <c r="E406" s="279"/>
      <c r="F406" s="279"/>
      <c r="G406" s="313">
        <f>G407</f>
        <v>49000</v>
      </c>
      <c r="H406" s="313">
        <f aca="true" t="shared" si="20" ref="H406:J409">H407</f>
        <v>49000</v>
      </c>
      <c r="I406" s="313">
        <f t="shared" si="20"/>
        <v>49000</v>
      </c>
      <c r="J406" s="313">
        <f t="shared" si="20"/>
        <v>0</v>
      </c>
    </row>
    <row r="407" spans="1:10" s="5" customFormat="1" ht="25.5">
      <c r="A407" s="104" t="s">
        <v>237</v>
      </c>
      <c r="B407" s="256" t="s">
        <v>68</v>
      </c>
      <c r="C407" s="256" t="s">
        <v>420</v>
      </c>
      <c r="D407" s="279" t="s">
        <v>219</v>
      </c>
      <c r="E407" s="256"/>
      <c r="F407" s="256"/>
      <c r="G407" s="272">
        <f>G408</f>
        <v>49000</v>
      </c>
      <c r="H407" s="272">
        <f t="shared" si="20"/>
        <v>49000</v>
      </c>
      <c r="I407" s="272">
        <f t="shared" si="20"/>
        <v>49000</v>
      </c>
      <c r="J407" s="272">
        <f t="shared" si="20"/>
        <v>0</v>
      </c>
    </row>
    <row r="408" spans="1:10" s="5" customFormat="1" ht="25.5">
      <c r="A408" s="104" t="s">
        <v>226</v>
      </c>
      <c r="B408" s="256" t="s">
        <v>68</v>
      </c>
      <c r="C408" s="256" t="s">
        <v>420</v>
      </c>
      <c r="D408" s="279" t="s">
        <v>146</v>
      </c>
      <c r="E408" s="256"/>
      <c r="F408" s="256"/>
      <c r="G408" s="272">
        <f>G409</f>
        <v>49000</v>
      </c>
      <c r="H408" s="272">
        <f t="shared" si="20"/>
        <v>49000</v>
      </c>
      <c r="I408" s="272">
        <f t="shared" si="20"/>
        <v>49000</v>
      </c>
      <c r="J408" s="272">
        <f t="shared" si="20"/>
        <v>0</v>
      </c>
    </row>
    <row r="409" spans="1:10" s="5" customFormat="1" ht="12.75">
      <c r="A409" s="105" t="s">
        <v>29</v>
      </c>
      <c r="B409" s="256" t="s">
        <v>68</v>
      </c>
      <c r="C409" s="256" t="s">
        <v>420</v>
      </c>
      <c r="D409" s="256" t="s">
        <v>146</v>
      </c>
      <c r="E409" s="256" t="s">
        <v>30</v>
      </c>
      <c r="F409" s="256"/>
      <c r="G409" s="272">
        <f>G410</f>
        <v>49000</v>
      </c>
      <c r="H409" s="272">
        <f t="shared" si="20"/>
        <v>49000</v>
      </c>
      <c r="I409" s="272">
        <f t="shared" si="20"/>
        <v>49000</v>
      </c>
      <c r="J409" s="272">
        <f t="shared" si="20"/>
        <v>0</v>
      </c>
    </row>
    <row r="410" spans="1:12" s="5" customFormat="1" ht="12.75">
      <c r="A410" s="105" t="s">
        <v>282</v>
      </c>
      <c r="B410" s="256" t="s">
        <v>68</v>
      </c>
      <c r="C410" s="256" t="s">
        <v>420</v>
      </c>
      <c r="D410" s="256" t="s">
        <v>146</v>
      </c>
      <c r="E410" s="256" t="s">
        <v>30</v>
      </c>
      <c r="F410" s="256" t="s">
        <v>128</v>
      </c>
      <c r="G410" s="64">
        <v>49000</v>
      </c>
      <c r="H410" s="272">
        <v>49000</v>
      </c>
      <c r="I410" s="272">
        <v>49000</v>
      </c>
      <c r="J410" s="272">
        <f>G410-H410</f>
        <v>0</v>
      </c>
      <c r="K410" s="142"/>
      <c r="L410" s="142"/>
    </row>
    <row r="411" spans="1:10" s="5" customFormat="1" ht="12.75">
      <c r="A411" s="104" t="s">
        <v>283</v>
      </c>
      <c r="B411" s="279" t="s">
        <v>68</v>
      </c>
      <c r="C411" s="279" t="s">
        <v>419</v>
      </c>
      <c r="D411" s="279"/>
      <c r="E411" s="279"/>
      <c r="F411" s="279"/>
      <c r="G411" s="313">
        <f>G412</f>
        <v>293225.70999999996</v>
      </c>
      <c r="H411" s="313">
        <f aca="true" t="shared" si="21" ref="H411:J414">H412</f>
        <v>293225.70999999996</v>
      </c>
      <c r="I411" s="313">
        <f>I412</f>
        <v>298225.70999999996</v>
      </c>
      <c r="J411" s="313">
        <f t="shared" si="21"/>
        <v>0</v>
      </c>
    </row>
    <row r="412" spans="1:10" s="5" customFormat="1" ht="25.5">
      <c r="A412" s="104" t="s">
        <v>237</v>
      </c>
      <c r="B412" s="279" t="s">
        <v>68</v>
      </c>
      <c r="C412" s="279" t="s">
        <v>419</v>
      </c>
      <c r="D412" s="279" t="s">
        <v>219</v>
      </c>
      <c r="E412" s="279"/>
      <c r="F412" s="279"/>
      <c r="G412" s="313">
        <f>G413</f>
        <v>293225.70999999996</v>
      </c>
      <c r="H412" s="313">
        <f t="shared" si="21"/>
        <v>293225.70999999996</v>
      </c>
      <c r="I412" s="313">
        <f t="shared" si="21"/>
        <v>298225.70999999996</v>
      </c>
      <c r="J412" s="313">
        <f t="shared" si="21"/>
        <v>0</v>
      </c>
    </row>
    <row r="413" spans="1:10" s="5" customFormat="1" ht="25.5">
      <c r="A413" s="104" t="s">
        <v>226</v>
      </c>
      <c r="B413" s="279" t="s">
        <v>68</v>
      </c>
      <c r="C413" s="279" t="s">
        <v>419</v>
      </c>
      <c r="D413" s="279" t="s">
        <v>146</v>
      </c>
      <c r="E413" s="279"/>
      <c r="F413" s="279"/>
      <c r="G413" s="313">
        <f>G414+G416</f>
        <v>293225.70999999996</v>
      </c>
      <c r="H413" s="313">
        <f>H414+H416</f>
        <v>293225.70999999996</v>
      </c>
      <c r="I413" s="313">
        <f>I414+I416</f>
        <v>298225.70999999996</v>
      </c>
      <c r="J413" s="313">
        <f>J414+J416</f>
        <v>0</v>
      </c>
    </row>
    <row r="414" spans="1:10" s="5" customFormat="1" ht="12.75">
      <c r="A414" s="105" t="s">
        <v>29</v>
      </c>
      <c r="B414" s="256" t="s">
        <v>68</v>
      </c>
      <c r="C414" s="256" t="s">
        <v>419</v>
      </c>
      <c r="D414" s="256" t="s">
        <v>146</v>
      </c>
      <c r="E414" s="256" t="s">
        <v>30</v>
      </c>
      <c r="F414" s="256"/>
      <c r="G414" s="272">
        <f>G415</f>
        <v>0</v>
      </c>
      <c r="H414" s="272">
        <f t="shared" si="21"/>
        <v>0</v>
      </c>
      <c r="I414" s="272">
        <f t="shared" si="21"/>
        <v>0</v>
      </c>
      <c r="J414" s="272">
        <f t="shared" si="21"/>
        <v>0</v>
      </c>
    </row>
    <row r="415" spans="1:10" s="5" customFormat="1" ht="12.75">
      <c r="A415" s="23" t="s">
        <v>284</v>
      </c>
      <c r="B415" s="256" t="s">
        <v>68</v>
      </c>
      <c r="C415" s="256" t="s">
        <v>419</v>
      </c>
      <c r="D415" s="256" t="s">
        <v>146</v>
      </c>
      <c r="E415" s="256" t="s">
        <v>30</v>
      </c>
      <c r="F415" s="256" t="s">
        <v>128</v>
      </c>
      <c r="G415" s="272">
        <v>0</v>
      </c>
      <c r="H415" s="272">
        <v>0</v>
      </c>
      <c r="I415" s="272">
        <v>0</v>
      </c>
      <c r="J415" s="272">
        <f>G415-H415</f>
        <v>0</v>
      </c>
    </row>
    <row r="416" spans="1:12" s="5" customFormat="1" ht="12.75">
      <c r="A416" s="23" t="s">
        <v>284</v>
      </c>
      <c r="B416" s="256" t="s">
        <v>68</v>
      </c>
      <c r="C416" s="256" t="s">
        <v>419</v>
      </c>
      <c r="D416" s="256" t="s">
        <v>146</v>
      </c>
      <c r="E416" s="256" t="s">
        <v>30</v>
      </c>
      <c r="F416" s="256" t="s">
        <v>128</v>
      </c>
      <c r="G416" s="272">
        <f>115824.8+269175.2-78100+148104.69-200000-49000+2221.02+85000</f>
        <v>293225.70999999996</v>
      </c>
      <c r="H416" s="272">
        <f>55785.71+127440+20000+90000</f>
        <v>293225.70999999996</v>
      </c>
      <c r="I416" s="272">
        <f>55785.71+127440+20000+95000</f>
        <v>298225.70999999996</v>
      </c>
      <c r="J416" s="272">
        <f>G416-H416</f>
        <v>0</v>
      </c>
      <c r="K416" s="142"/>
      <c r="L416" s="142"/>
    </row>
    <row r="417" spans="1:10" s="5" customFormat="1" ht="12.75">
      <c r="A417" s="22" t="s">
        <v>447</v>
      </c>
      <c r="B417" s="256"/>
      <c r="C417" s="256"/>
      <c r="D417" s="256"/>
      <c r="E417" s="256"/>
      <c r="F417" s="256"/>
      <c r="G417" s="272"/>
      <c r="H417" s="272"/>
      <c r="I417" s="272"/>
      <c r="J417" s="317"/>
    </row>
    <row r="418" spans="1:12" s="5" customFormat="1" ht="12.75">
      <c r="A418" s="22" t="s">
        <v>29</v>
      </c>
      <c r="B418" s="279" t="s">
        <v>68</v>
      </c>
      <c r="C418" s="256" t="s">
        <v>243</v>
      </c>
      <c r="D418" s="279" t="s">
        <v>451</v>
      </c>
      <c r="E418" s="279" t="s">
        <v>30</v>
      </c>
      <c r="F418" s="279"/>
      <c r="G418" s="313">
        <f>G419+G420</f>
        <v>0</v>
      </c>
      <c r="H418" s="313">
        <f>H419</f>
        <v>0</v>
      </c>
      <c r="I418" s="313">
        <f>I419</f>
        <v>0</v>
      </c>
      <c r="J418" s="313">
        <f>G418-H418</f>
        <v>0</v>
      </c>
      <c r="K418" s="142"/>
      <c r="L418" s="142"/>
    </row>
    <row r="419" spans="1:35" s="147" customFormat="1" ht="12.75">
      <c r="A419" s="69" t="s">
        <v>395</v>
      </c>
      <c r="B419" s="252" t="s">
        <v>68</v>
      </c>
      <c r="C419" s="252" t="s">
        <v>243</v>
      </c>
      <c r="D419" s="252" t="s">
        <v>451</v>
      </c>
      <c r="E419" s="252" t="s">
        <v>30</v>
      </c>
      <c r="F419" s="252" t="s">
        <v>375</v>
      </c>
      <c r="G419" s="64">
        <f>200000-200000</f>
        <v>0</v>
      </c>
      <c r="H419" s="64"/>
      <c r="I419" s="64"/>
      <c r="J419" s="64">
        <f>G419-H419</f>
        <v>0</v>
      </c>
      <c r="K419" s="165"/>
      <c r="L419" s="165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</row>
    <row r="420" spans="1:10" s="5" customFormat="1" ht="38.25">
      <c r="A420" s="23" t="s">
        <v>450</v>
      </c>
      <c r="B420" s="256" t="s">
        <v>68</v>
      </c>
      <c r="C420" s="256" t="s">
        <v>243</v>
      </c>
      <c r="D420" s="256" t="s">
        <v>146</v>
      </c>
      <c r="E420" s="256" t="s">
        <v>30</v>
      </c>
      <c r="F420" s="256" t="s">
        <v>128</v>
      </c>
      <c r="G420" s="272"/>
      <c r="H420" s="272"/>
      <c r="I420" s="272"/>
      <c r="J420" s="272">
        <f>G420-H420</f>
        <v>0</v>
      </c>
    </row>
    <row r="421" spans="1:12" s="4" customFormat="1" ht="12.75">
      <c r="A421" s="136" t="s">
        <v>72</v>
      </c>
      <c r="B421" s="314" t="s">
        <v>73</v>
      </c>
      <c r="C421" s="314"/>
      <c r="D421" s="314"/>
      <c r="E421" s="314"/>
      <c r="F421" s="314"/>
      <c r="G421" s="315">
        <f>G443+G468+G438+G555</f>
        <v>111595173.17</v>
      </c>
      <c r="H421" s="315">
        <f>H443+H468+H438+H555</f>
        <v>75498667.65</v>
      </c>
      <c r="I421" s="315">
        <f>I443+I468+I438+I555</f>
        <v>98590204.41000001</v>
      </c>
      <c r="J421" s="315">
        <f>J443+J468+J438+J555</f>
        <v>36096505.52</v>
      </c>
      <c r="K421" s="86"/>
      <c r="L421" s="86"/>
    </row>
    <row r="422" spans="1:10" s="9" customFormat="1" ht="12.75" hidden="1">
      <c r="A422" s="22" t="s">
        <v>74</v>
      </c>
      <c r="B422" s="279" t="s">
        <v>75</v>
      </c>
      <c r="C422" s="279" t="s">
        <v>12</v>
      </c>
      <c r="D422" s="279" t="s">
        <v>7</v>
      </c>
      <c r="E422" s="279"/>
      <c r="F422" s="279"/>
      <c r="G422" s="316"/>
      <c r="H422" s="316"/>
      <c r="I422" s="316"/>
      <c r="J422" s="316"/>
    </row>
    <row r="423" spans="1:10" s="13" customFormat="1" ht="12.75" hidden="1">
      <c r="A423" s="51" t="s">
        <v>76</v>
      </c>
      <c r="B423" s="359" t="s">
        <v>75</v>
      </c>
      <c r="C423" s="359" t="s">
        <v>77</v>
      </c>
      <c r="D423" s="359" t="s">
        <v>7</v>
      </c>
      <c r="E423" s="359"/>
      <c r="F423" s="359"/>
      <c r="G423" s="273"/>
      <c r="H423" s="273"/>
      <c r="I423" s="273"/>
      <c r="J423" s="273"/>
    </row>
    <row r="424" spans="1:10" s="9" customFormat="1" ht="12.75" hidden="1">
      <c r="A424" s="22" t="s">
        <v>78</v>
      </c>
      <c r="B424" s="279" t="s">
        <v>75</v>
      </c>
      <c r="C424" s="279" t="s">
        <v>77</v>
      </c>
      <c r="D424" s="279" t="s">
        <v>79</v>
      </c>
      <c r="E424" s="279"/>
      <c r="F424" s="279"/>
      <c r="G424" s="316"/>
      <c r="H424" s="316"/>
      <c r="I424" s="316"/>
      <c r="J424" s="316"/>
    </row>
    <row r="425" spans="1:10" s="9" customFormat="1" ht="25.5" hidden="1">
      <c r="A425" s="22" t="s">
        <v>80</v>
      </c>
      <c r="B425" s="279" t="s">
        <v>75</v>
      </c>
      <c r="C425" s="279" t="s">
        <v>77</v>
      </c>
      <c r="D425" s="279" t="s">
        <v>79</v>
      </c>
      <c r="E425" s="279" t="s">
        <v>81</v>
      </c>
      <c r="F425" s="279"/>
      <c r="G425" s="316"/>
      <c r="H425" s="316"/>
      <c r="I425" s="316"/>
      <c r="J425" s="316"/>
    </row>
    <row r="426" spans="1:10" s="5" customFormat="1" ht="38.25" hidden="1">
      <c r="A426" s="22" t="s">
        <v>82</v>
      </c>
      <c r="B426" s="279" t="s">
        <v>75</v>
      </c>
      <c r="C426" s="279" t="s">
        <v>77</v>
      </c>
      <c r="D426" s="279" t="s">
        <v>79</v>
      </c>
      <c r="E426" s="279" t="s">
        <v>83</v>
      </c>
      <c r="F426" s="279"/>
      <c r="G426" s="272"/>
      <c r="H426" s="272"/>
      <c r="I426" s="272"/>
      <c r="J426" s="272"/>
    </row>
    <row r="427" spans="1:10" s="9" customFormat="1" ht="12.75" hidden="1">
      <c r="A427" s="22" t="s">
        <v>31</v>
      </c>
      <c r="B427" s="279" t="s">
        <v>75</v>
      </c>
      <c r="C427" s="279" t="s">
        <v>77</v>
      </c>
      <c r="D427" s="279" t="s">
        <v>79</v>
      </c>
      <c r="E427" s="279" t="s">
        <v>32</v>
      </c>
      <c r="F427" s="279"/>
      <c r="G427" s="316"/>
      <c r="H427" s="316"/>
      <c r="I427" s="316"/>
      <c r="J427" s="316"/>
    </row>
    <row r="428" spans="1:10" s="5" customFormat="1" ht="12.75" hidden="1">
      <c r="A428" s="22" t="s">
        <v>33</v>
      </c>
      <c r="B428" s="279" t="s">
        <v>75</v>
      </c>
      <c r="C428" s="279" t="s">
        <v>77</v>
      </c>
      <c r="D428" s="279" t="s">
        <v>79</v>
      </c>
      <c r="E428" s="279" t="s">
        <v>34</v>
      </c>
      <c r="F428" s="279"/>
      <c r="G428" s="272"/>
      <c r="H428" s="272"/>
      <c r="I428" s="272"/>
      <c r="J428" s="272"/>
    </row>
    <row r="429" spans="1:10" s="5" customFormat="1" ht="25.5" hidden="1">
      <c r="A429" s="22" t="s">
        <v>84</v>
      </c>
      <c r="B429" s="279"/>
      <c r="C429" s="279"/>
      <c r="D429" s="279"/>
      <c r="E429" s="279"/>
      <c r="F429" s="279" t="s">
        <v>85</v>
      </c>
      <c r="G429" s="272"/>
      <c r="H429" s="272"/>
      <c r="I429" s="272"/>
      <c r="J429" s="272"/>
    </row>
    <row r="430" spans="1:10" s="9" customFormat="1" ht="38.25" hidden="1">
      <c r="A430" s="22" t="s">
        <v>86</v>
      </c>
      <c r="B430" s="279" t="s">
        <v>75</v>
      </c>
      <c r="C430" s="279" t="s">
        <v>77</v>
      </c>
      <c r="D430" s="279" t="s">
        <v>87</v>
      </c>
      <c r="E430" s="279"/>
      <c r="F430" s="279"/>
      <c r="G430" s="316"/>
      <c r="H430" s="316"/>
      <c r="I430" s="316"/>
      <c r="J430" s="316"/>
    </row>
    <row r="431" spans="1:10" s="9" customFormat="1" ht="25.5" hidden="1">
      <c r="A431" s="22" t="s">
        <v>80</v>
      </c>
      <c r="B431" s="279" t="s">
        <v>75</v>
      </c>
      <c r="C431" s="279" t="s">
        <v>77</v>
      </c>
      <c r="D431" s="279" t="s">
        <v>87</v>
      </c>
      <c r="E431" s="279" t="s">
        <v>81</v>
      </c>
      <c r="F431" s="279"/>
      <c r="G431" s="316"/>
      <c r="H431" s="316"/>
      <c r="I431" s="316"/>
      <c r="J431" s="316"/>
    </row>
    <row r="432" spans="1:10" s="5" customFormat="1" ht="38.25" hidden="1">
      <c r="A432" s="22" t="s">
        <v>82</v>
      </c>
      <c r="B432" s="279" t="s">
        <v>75</v>
      </c>
      <c r="C432" s="279" t="s">
        <v>77</v>
      </c>
      <c r="D432" s="279" t="s">
        <v>87</v>
      </c>
      <c r="E432" s="279" t="s">
        <v>83</v>
      </c>
      <c r="F432" s="279"/>
      <c r="G432" s="272"/>
      <c r="H432" s="272"/>
      <c r="I432" s="272"/>
      <c r="J432" s="272"/>
    </row>
    <row r="433" spans="1:10" s="5" customFormat="1" ht="12.75" hidden="1">
      <c r="A433" s="22"/>
      <c r="B433" s="279"/>
      <c r="C433" s="279"/>
      <c r="D433" s="279"/>
      <c r="E433" s="279"/>
      <c r="F433" s="279"/>
      <c r="G433" s="272"/>
      <c r="H433" s="272"/>
      <c r="I433" s="272"/>
      <c r="J433" s="272"/>
    </row>
    <row r="434" spans="1:10" s="67" customFormat="1" ht="38.25" hidden="1">
      <c r="A434" s="390" t="s">
        <v>185</v>
      </c>
      <c r="B434" s="361" t="s">
        <v>75</v>
      </c>
      <c r="C434" s="361"/>
      <c r="D434" s="361" t="s">
        <v>186</v>
      </c>
      <c r="E434" s="361" t="s">
        <v>27</v>
      </c>
      <c r="F434" s="361" t="s">
        <v>122</v>
      </c>
      <c r="G434" s="307"/>
      <c r="H434" s="307"/>
      <c r="I434" s="307"/>
      <c r="J434" s="307"/>
    </row>
    <row r="435" spans="1:10" s="67" customFormat="1" ht="25.5" hidden="1">
      <c r="A435" s="390" t="s">
        <v>187</v>
      </c>
      <c r="B435" s="361" t="s">
        <v>75</v>
      </c>
      <c r="C435" s="361"/>
      <c r="D435" s="361" t="s">
        <v>188</v>
      </c>
      <c r="E435" s="361" t="s">
        <v>62</v>
      </c>
      <c r="F435" s="361"/>
      <c r="G435" s="307"/>
      <c r="H435" s="307"/>
      <c r="I435" s="307"/>
      <c r="J435" s="307"/>
    </row>
    <row r="436" spans="1:10" s="67" customFormat="1" ht="25.5" hidden="1">
      <c r="A436" s="390" t="s">
        <v>189</v>
      </c>
      <c r="B436" s="361" t="s">
        <v>75</v>
      </c>
      <c r="C436" s="361"/>
      <c r="D436" s="361" t="s">
        <v>146</v>
      </c>
      <c r="E436" s="361" t="s">
        <v>30</v>
      </c>
      <c r="F436" s="361" t="s">
        <v>128</v>
      </c>
      <c r="G436" s="307"/>
      <c r="H436" s="307"/>
      <c r="I436" s="307"/>
      <c r="J436" s="307"/>
    </row>
    <row r="437" spans="1:10" s="67" customFormat="1" ht="25.5" hidden="1">
      <c r="A437" s="390" t="s">
        <v>190</v>
      </c>
      <c r="B437" s="361" t="s">
        <v>75</v>
      </c>
      <c r="C437" s="361"/>
      <c r="D437" s="361" t="s">
        <v>146</v>
      </c>
      <c r="E437" s="361" t="s">
        <v>39</v>
      </c>
      <c r="F437" s="361" t="s">
        <v>131</v>
      </c>
      <c r="G437" s="307"/>
      <c r="H437" s="307"/>
      <c r="I437" s="307"/>
      <c r="J437" s="307"/>
    </row>
    <row r="438" spans="1:10" s="137" customFormat="1" ht="25.5">
      <c r="A438" s="99" t="s">
        <v>483</v>
      </c>
      <c r="B438" s="258" t="s">
        <v>75</v>
      </c>
      <c r="C438" s="400">
        <v>2030010030</v>
      </c>
      <c r="D438" s="258"/>
      <c r="E438" s="258"/>
      <c r="F438" s="258"/>
      <c r="G438" s="106">
        <f>G439</f>
        <v>113504</v>
      </c>
      <c r="H438" s="106">
        <f>H439</f>
        <v>113504</v>
      </c>
      <c r="I438" s="106">
        <f>I439</f>
        <v>113504</v>
      </c>
      <c r="J438" s="106">
        <f>J439</f>
        <v>0</v>
      </c>
    </row>
    <row r="439" spans="1:11" s="137" customFormat="1" ht="25.5">
      <c r="A439" s="104" t="s">
        <v>331</v>
      </c>
      <c r="B439" s="361" t="s">
        <v>75</v>
      </c>
      <c r="C439" s="394">
        <v>2030010030</v>
      </c>
      <c r="D439" s="361"/>
      <c r="E439" s="361"/>
      <c r="F439" s="361"/>
      <c r="G439" s="362">
        <f>G441+G442+G440</f>
        <v>113504</v>
      </c>
      <c r="H439" s="362">
        <f>H441+H442+H440</f>
        <v>113504</v>
      </c>
      <c r="I439" s="362">
        <f>I441+I442+I440</f>
        <v>113504</v>
      </c>
      <c r="J439" s="362">
        <f>J441+J442+J440</f>
        <v>0</v>
      </c>
      <c r="K439" s="146"/>
    </row>
    <row r="440" spans="1:12" s="137" customFormat="1" ht="14.25">
      <c r="A440" s="104"/>
      <c r="B440" s="330" t="s">
        <v>75</v>
      </c>
      <c r="C440" s="395">
        <v>2030010030</v>
      </c>
      <c r="D440" s="330" t="s">
        <v>146</v>
      </c>
      <c r="E440" s="330" t="s">
        <v>27</v>
      </c>
      <c r="F440" s="330" t="s">
        <v>124</v>
      </c>
      <c r="G440" s="364">
        <f>270300-156796+156796-156796</f>
        <v>113504</v>
      </c>
      <c r="H440" s="364">
        <v>113504</v>
      </c>
      <c r="I440" s="364">
        <v>113504</v>
      </c>
      <c r="J440" s="364">
        <f>G440-H440</f>
        <v>0</v>
      </c>
      <c r="K440" s="146"/>
      <c r="L440" s="146"/>
    </row>
    <row r="441" spans="1:12" s="137" customFormat="1" ht="28.5">
      <c r="A441" s="210" t="s">
        <v>640</v>
      </c>
      <c r="B441" s="330" t="s">
        <v>75</v>
      </c>
      <c r="C441" s="395">
        <v>2030010030</v>
      </c>
      <c r="D441" s="330" t="s">
        <v>146</v>
      </c>
      <c r="E441" s="330" t="s">
        <v>30</v>
      </c>
      <c r="F441" s="330" t="s">
        <v>128</v>
      </c>
      <c r="G441" s="364">
        <f>500000-229700-270300</f>
        <v>0</v>
      </c>
      <c r="H441" s="364"/>
      <c r="I441" s="364"/>
      <c r="J441" s="364">
        <f>G441-H441</f>
        <v>0</v>
      </c>
      <c r="K441" s="227"/>
      <c r="L441" s="227"/>
    </row>
    <row r="442" spans="1:11" s="137" customFormat="1" ht="25.5">
      <c r="A442" s="139" t="s">
        <v>452</v>
      </c>
      <c r="B442" s="330" t="s">
        <v>75</v>
      </c>
      <c r="C442" s="395" t="s">
        <v>445</v>
      </c>
      <c r="D442" s="330" t="s">
        <v>446</v>
      </c>
      <c r="E442" s="330" t="s">
        <v>39</v>
      </c>
      <c r="F442" s="330" t="s">
        <v>131</v>
      </c>
      <c r="G442" s="307"/>
      <c r="H442" s="307"/>
      <c r="I442" s="307"/>
      <c r="J442" s="307">
        <f>G442-H442</f>
        <v>0</v>
      </c>
      <c r="K442" s="146"/>
    </row>
    <row r="443" spans="1:10" s="72" customFormat="1" ht="12.75">
      <c r="A443" s="103" t="s">
        <v>74</v>
      </c>
      <c r="B443" s="323" t="s">
        <v>75</v>
      </c>
      <c r="C443" s="396"/>
      <c r="D443" s="323"/>
      <c r="E443" s="323"/>
      <c r="F443" s="323"/>
      <c r="G443" s="319">
        <f>G445+G452+G462</f>
        <v>1558777.2</v>
      </c>
      <c r="H443" s="319">
        <f>H445+H452+H462</f>
        <v>1412320.4</v>
      </c>
      <c r="I443" s="319">
        <f>I445+I452+I462</f>
        <v>1558777.2</v>
      </c>
      <c r="J443" s="319">
        <f>J445+J452+J462</f>
        <v>146456.80000000005</v>
      </c>
    </row>
    <row r="444" spans="1:10" s="72" customFormat="1" ht="25.5">
      <c r="A444" s="103" t="s">
        <v>376</v>
      </c>
      <c r="B444" s="323" t="s">
        <v>75</v>
      </c>
      <c r="C444" s="397" t="s">
        <v>299</v>
      </c>
      <c r="D444" s="323" t="s">
        <v>188</v>
      </c>
      <c r="E444" s="323" t="s">
        <v>83</v>
      </c>
      <c r="F444" s="323"/>
      <c r="G444" s="319">
        <v>0</v>
      </c>
      <c r="H444" s="319">
        <v>0</v>
      </c>
      <c r="I444" s="319">
        <v>0</v>
      </c>
      <c r="J444" s="319">
        <v>0</v>
      </c>
    </row>
    <row r="445" spans="1:10" s="72" customFormat="1" ht="25.5">
      <c r="A445" s="103" t="s">
        <v>285</v>
      </c>
      <c r="B445" s="323" t="s">
        <v>75</v>
      </c>
      <c r="C445" s="397" t="s">
        <v>421</v>
      </c>
      <c r="D445" s="323"/>
      <c r="E445" s="323"/>
      <c r="F445" s="323"/>
      <c r="G445" s="319">
        <f>G446</f>
        <v>1320612.2</v>
      </c>
      <c r="H445" s="319">
        <f aca="true" t="shared" si="22" ref="H445:J449">H446</f>
        <v>1174155.4</v>
      </c>
      <c r="I445" s="319">
        <f t="shared" si="22"/>
        <v>1320612.2</v>
      </c>
      <c r="J445" s="319">
        <f t="shared" si="22"/>
        <v>146456.80000000005</v>
      </c>
    </row>
    <row r="446" spans="1:10" s="72" customFormat="1" ht="38.25">
      <c r="A446" s="103" t="s">
        <v>286</v>
      </c>
      <c r="B446" s="323" t="s">
        <v>75</v>
      </c>
      <c r="C446" s="397" t="s">
        <v>421</v>
      </c>
      <c r="D446" s="323"/>
      <c r="E446" s="323"/>
      <c r="F446" s="323"/>
      <c r="G446" s="319">
        <f>G447</f>
        <v>1320612.2</v>
      </c>
      <c r="H446" s="319">
        <f t="shared" si="22"/>
        <v>1174155.4</v>
      </c>
      <c r="I446" s="319">
        <f t="shared" si="22"/>
        <v>1320612.2</v>
      </c>
      <c r="J446" s="319">
        <f t="shared" si="22"/>
        <v>146456.80000000005</v>
      </c>
    </row>
    <row r="447" spans="1:10" s="72" customFormat="1" ht="25.5">
      <c r="A447" s="104" t="s">
        <v>237</v>
      </c>
      <c r="B447" s="323" t="s">
        <v>75</v>
      </c>
      <c r="C447" s="397" t="s">
        <v>421</v>
      </c>
      <c r="D447" s="323" t="s">
        <v>219</v>
      </c>
      <c r="E447" s="323"/>
      <c r="F447" s="323"/>
      <c r="G447" s="319">
        <f>G448</f>
        <v>1320612.2</v>
      </c>
      <c r="H447" s="319">
        <f t="shared" si="22"/>
        <v>1174155.4</v>
      </c>
      <c r="I447" s="319">
        <f t="shared" si="22"/>
        <v>1320612.2</v>
      </c>
      <c r="J447" s="319">
        <f t="shared" si="22"/>
        <v>146456.80000000005</v>
      </c>
    </row>
    <row r="448" spans="1:10" s="72" customFormat="1" ht="25.5">
      <c r="A448" s="104" t="s">
        <v>226</v>
      </c>
      <c r="B448" s="323" t="s">
        <v>75</v>
      </c>
      <c r="C448" s="397" t="s">
        <v>421</v>
      </c>
      <c r="D448" s="323" t="s">
        <v>146</v>
      </c>
      <c r="E448" s="323"/>
      <c r="F448" s="323"/>
      <c r="G448" s="319">
        <f>G449</f>
        <v>1320612.2</v>
      </c>
      <c r="H448" s="319">
        <f t="shared" si="22"/>
        <v>1174155.4</v>
      </c>
      <c r="I448" s="319">
        <f t="shared" si="22"/>
        <v>1320612.2</v>
      </c>
      <c r="J448" s="319">
        <f t="shared" si="22"/>
        <v>146456.80000000005</v>
      </c>
    </row>
    <row r="449" spans="1:10" s="72" customFormat="1" ht="12.75">
      <c r="A449" s="105" t="s">
        <v>35</v>
      </c>
      <c r="B449" s="320" t="s">
        <v>75</v>
      </c>
      <c r="C449" s="398" t="s">
        <v>421</v>
      </c>
      <c r="D449" s="320" t="s">
        <v>146</v>
      </c>
      <c r="E449" s="320" t="s">
        <v>27</v>
      </c>
      <c r="F449" s="320"/>
      <c r="G449" s="307">
        <f>G450</f>
        <v>1320612.2</v>
      </c>
      <c r="H449" s="307">
        <f t="shared" si="22"/>
        <v>1174155.4</v>
      </c>
      <c r="I449" s="307">
        <f t="shared" si="22"/>
        <v>1320612.2</v>
      </c>
      <c r="J449" s="307">
        <f t="shared" si="22"/>
        <v>146456.80000000005</v>
      </c>
    </row>
    <row r="450" spans="1:11" s="72" customFormat="1" ht="12.75">
      <c r="A450" s="105" t="s">
        <v>287</v>
      </c>
      <c r="B450" s="320" t="s">
        <v>75</v>
      </c>
      <c r="C450" s="398" t="s">
        <v>421</v>
      </c>
      <c r="D450" s="320" t="s">
        <v>146</v>
      </c>
      <c r="E450" s="320" t="s">
        <v>27</v>
      </c>
      <c r="F450" s="320" t="s">
        <v>122</v>
      </c>
      <c r="G450" s="64">
        <f>1167295.2+153317-270300+270300</f>
        <v>1320612.2</v>
      </c>
      <c r="H450" s="307">
        <v>1174155.4</v>
      </c>
      <c r="I450" s="307">
        <f>1320612.2</f>
        <v>1320612.2</v>
      </c>
      <c r="J450" s="319">
        <f>G450-H450</f>
        <v>146456.80000000005</v>
      </c>
      <c r="K450" s="56"/>
    </row>
    <row r="451" spans="1:12" s="5" customFormat="1" ht="12.75">
      <c r="A451" s="57" t="s">
        <v>172</v>
      </c>
      <c r="B451" s="342"/>
      <c r="C451" s="399"/>
      <c r="D451" s="342"/>
      <c r="E451" s="342"/>
      <c r="F451" s="342"/>
      <c r="G451" s="272"/>
      <c r="H451" s="272"/>
      <c r="I451" s="272"/>
      <c r="J451" s="317"/>
      <c r="L451" s="76"/>
    </row>
    <row r="452" spans="1:11" s="5" customFormat="1" ht="25.5">
      <c r="A452" s="100" t="s">
        <v>475</v>
      </c>
      <c r="B452" s="258" t="s">
        <v>75</v>
      </c>
      <c r="C452" s="258" t="s">
        <v>405</v>
      </c>
      <c r="D452" s="258"/>
      <c r="E452" s="258"/>
      <c r="F452" s="258"/>
      <c r="G452" s="106">
        <f>G453</f>
        <v>238165</v>
      </c>
      <c r="H452" s="106">
        <f>H453</f>
        <v>238165</v>
      </c>
      <c r="I452" s="106">
        <f>I453</f>
        <v>238165</v>
      </c>
      <c r="J452" s="106">
        <f>J453</f>
        <v>0</v>
      </c>
      <c r="K452" s="76"/>
    </row>
    <row r="453" spans="1:11" s="5" customFormat="1" ht="25.5">
      <c r="A453" s="104" t="s">
        <v>237</v>
      </c>
      <c r="B453" s="251" t="s">
        <v>75</v>
      </c>
      <c r="C453" s="251" t="s">
        <v>406</v>
      </c>
      <c r="D453" s="251" t="s">
        <v>219</v>
      </c>
      <c r="E453" s="252"/>
      <c r="F453" s="252"/>
      <c r="G453" s="313">
        <f>G456+G454+G455</f>
        <v>238165</v>
      </c>
      <c r="H453" s="313">
        <f>H456+H454+H455</f>
        <v>238165</v>
      </c>
      <c r="I453" s="313">
        <f>I456+I454+I455</f>
        <v>238165</v>
      </c>
      <c r="J453" s="313">
        <f>J456+J454+J455</f>
        <v>0</v>
      </c>
      <c r="K453" s="14"/>
    </row>
    <row r="454" spans="1:11" s="5" customFormat="1" ht="12.75">
      <c r="A454" s="104"/>
      <c r="B454" s="252" t="s">
        <v>75</v>
      </c>
      <c r="C454" s="252" t="s">
        <v>407</v>
      </c>
      <c r="D454" s="252" t="s">
        <v>186</v>
      </c>
      <c r="E454" s="252" t="s">
        <v>27</v>
      </c>
      <c r="F454" s="252" t="s">
        <v>122</v>
      </c>
      <c r="G454" s="272">
        <v>12000</v>
      </c>
      <c r="H454" s="272">
        <v>12000</v>
      </c>
      <c r="I454" s="272">
        <v>12000</v>
      </c>
      <c r="J454" s="59">
        <f>G454-H454</f>
        <v>0</v>
      </c>
      <c r="K454" s="14"/>
    </row>
    <row r="455" spans="1:11" s="5" customFormat="1" ht="12.75">
      <c r="A455" s="104"/>
      <c r="B455" s="252" t="s">
        <v>75</v>
      </c>
      <c r="C455" s="252" t="s">
        <v>407</v>
      </c>
      <c r="D455" s="252" t="s">
        <v>186</v>
      </c>
      <c r="E455" s="252" t="s">
        <v>513</v>
      </c>
      <c r="F455" s="252" t="s">
        <v>193</v>
      </c>
      <c r="G455" s="272">
        <f>150064</f>
        <v>150064</v>
      </c>
      <c r="H455" s="272">
        <v>150064</v>
      </c>
      <c r="I455" s="272">
        <v>150064</v>
      </c>
      <c r="J455" s="64">
        <f>G455-H455</f>
        <v>0</v>
      </c>
      <c r="K455" s="14"/>
    </row>
    <row r="456" spans="1:10" s="5" customFormat="1" ht="25.5">
      <c r="A456" s="104" t="s">
        <v>226</v>
      </c>
      <c r="B456" s="251" t="s">
        <v>75</v>
      </c>
      <c r="C456" s="251" t="s">
        <v>407</v>
      </c>
      <c r="D456" s="251" t="s">
        <v>146</v>
      </c>
      <c r="E456" s="252"/>
      <c r="F456" s="252"/>
      <c r="G456" s="313">
        <f>G457+G460+G461+G459</f>
        <v>76101</v>
      </c>
      <c r="H456" s="313">
        <f>H457+H460+H461+H459</f>
        <v>76101</v>
      </c>
      <c r="I456" s="313">
        <f>I457+I460+I461+I459</f>
        <v>76101</v>
      </c>
      <c r="J456" s="313">
        <f>J457+J460+J461+J459</f>
        <v>0</v>
      </c>
    </row>
    <row r="457" spans="1:10" s="5" customFormat="1" ht="12.75">
      <c r="A457" s="21" t="s">
        <v>26</v>
      </c>
      <c r="B457" s="252" t="s">
        <v>75</v>
      </c>
      <c r="C457" s="252" t="s">
        <v>407</v>
      </c>
      <c r="D457" s="252" t="s">
        <v>146</v>
      </c>
      <c r="E457" s="252" t="s">
        <v>27</v>
      </c>
      <c r="F457" s="252"/>
      <c r="G457" s="272">
        <f>G458</f>
        <v>0</v>
      </c>
      <c r="H457" s="272">
        <f>H458</f>
        <v>0</v>
      </c>
      <c r="I457" s="272">
        <f>I458</f>
        <v>0</v>
      </c>
      <c r="J457" s="272">
        <f>J458</f>
        <v>0</v>
      </c>
    </row>
    <row r="458" spans="1:13" s="5" customFormat="1" ht="38.25">
      <c r="A458" s="21" t="s">
        <v>288</v>
      </c>
      <c r="B458" s="252" t="s">
        <v>75</v>
      </c>
      <c r="C458" s="252" t="s">
        <v>407</v>
      </c>
      <c r="D458" s="252" t="s">
        <v>146</v>
      </c>
      <c r="E458" s="252" t="s">
        <v>27</v>
      </c>
      <c r="F458" s="252" t="s">
        <v>122</v>
      </c>
      <c r="G458" s="64">
        <f>500000-98551-162064-239385</f>
        <v>0</v>
      </c>
      <c r="H458" s="307"/>
      <c r="I458" s="307"/>
      <c r="J458" s="362">
        <f>G458-H458</f>
        <v>0</v>
      </c>
      <c r="K458" s="144"/>
      <c r="L458" s="156"/>
      <c r="M458" s="14"/>
    </row>
    <row r="459" spans="1:13" s="5" customFormat="1" ht="51">
      <c r="A459" s="21" t="s">
        <v>459</v>
      </c>
      <c r="B459" s="252" t="s">
        <v>75</v>
      </c>
      <c r="C459" s="252" t="s">
        <v>407</v>
      </c>
      <c r="D459" s="252" t="s">
        <v>146</v>
      </c>
      <c r="E459" s="252" t="s">
        <v>39</v>
      </c>
      <c r="F459" s="252" t="s">
        <v>131</v>
      </c>
      <c r="G459" s="64">
        <f>15000-15000</f>
        <v>0</v>
      </c>
      <c r="H459" s="272"/>
      <c r="I459" s="272"/>
      <c r="J459" s="59">
        <f>G459-H459</f>
        <v>0</v>
      </c>
      <c r="K459" s="56"/>
      <c r="L459" s="56"/>
      <c r="M459" s="14"/>
    </row>
    <row r="460" spans="1:13" s="5" customFormat="1" ht="51">
      <c r="A460" s="21" t="s">
        <v>393</v>
      </c>
      <c r="B460" s="252" t="s">
        <v>75</v>
      </c>
      <c r="C460" s="252" t="s">
        <v>407</v>
      </c>
      <c r="D460" s="252" t="s">
        <v>146</v>
      </c>
      <c r="E460" s="252" t="s">
        <v>513</v>
      </c>
      <c r="F460" s="252" t="s">
        <v>193</v>
      </c>
      <c r="G460" s="64">
        <v>76101</v>
      </c>
      <c r="H460" s="272">
        <v>76101</v>
      </c>
      <c r="I460" s="272">
        <v>76101</v>
      </c>
      <c r="J460" s="59">
        <f>G460-H460</f>
        <v>0</v>
      </c>
      <c r="K460" s="56"/>
      <c r="L460" s="56"/>
      <c r="M460" s="14"/>
    </row>
    <row r="461" spans="1:13" s="5" customFormat="1" ht="51">
      <c r="A461" s="21" t="s">
        <v>394</v>
      </c>
      <c r="B461" s="252" t="s">
        <v>75</v>
      </c>
      <c r="C461" s="252" t="s">
        <v>407</v>
      </c>
      <c r="D461" s="252" t="s">
        <v>146</v>
      </c>
      <c r="E461" s="252" t="s">
        <v>497</v>
      </c>
      <c r="F461" s="252" t="s">
        <v>133</v>
      </c>
      <c r="G461" s="64">
        <f>83551-76101-7450</f>
        <v>0</v>
      </c>
      <c r="H461" s="272"/>
      <c r="I461" s="272"/>
      <c r="J461" s="64">
        <f>G461-H461</f>
        <v>0</v>
      </c>
      <c r="K461" s="56"/>
      <c r="L461" s="56"/>
      <c r="M461" s="14"/>
    </row>
    <row r="462" spans="1:10" s="72" customFormat="1" ht="12.75" hidden="1">
      <c r="A462" s="62" t="s">
        <v>171</v>
      </c>
      <c r="B462" s="323" t="s">
        <v>75</v>
      </c>
      <c r="C462" s="320"/>
      <c r="D462" s="320"/>
      <c r="E462" s="320"/>
      <c r="F462" s="320"/>
      <c r="G462" s="313">
        <f>G463</f>
        <v>0</v>
      </c>
      <c r="H462" s="313">
        <f aca="true" t="shared" si="23" ref="H462:J464">H463</f>
        <v>0</v>
      </c>
      <c r="I462" s="313">
        <f t="shared" si="23"/>
        <v>0</v>
      </c>
      <c r="J462" s="313">
        <f t="shared" si="23"/>
        <v>0</v>
      </c>
    </row>
    <row r="463" spans="1:10" s="72" customFormat="1" ht="38.25" hidden="1">
      <c r="A463" s="55" t="s">
        <v>289</v>
      </c>
      <c r="B463" s="323" t="s">
        <v>75</v>
      </c>
      <c r="C463" s="323" t="s">
        <v>290</v>
      </c>
      <c r="D463" s="323"/>
      <c r="E463" s="323"/>
      <c r="F463" s="323"/>
      <c r="G463" s="313">
        <f>G464</f>
        <v>0</v>
      </c>
      <c r="H463" s="313">
        <f t="shared" si="23"/>
        <v>0</v>
      </c>
      <c r="I463" s="313">
        <f t="shared" si="23"/>
        <v>0</v>
      </c>
      <c r="J463" s="313">
        <f t="shared" si="23"/>
        <v>0</v>
      </c>
    </row>
    <row r="464" spans="1:10" s="72" customFormat="1" ht="12.75" hidden="1">
      <c r="A464" s="55" t="s">
        <v>269</v>
      </c>
      <c r="B464" s="320" t="s">
        <v>75</v>
      </c>
      <c r="C464" s="320" t="s">
        <v>290</v>
      </c>
      <c r="D464" s="320" t="s">
        <v>188</v>
      </c>
      <c r="E464" s="320"/>
      <c r="F464" s="320"/>
      <c r="G464" s="272">
        <f>G465</f>
        <v>0</v>
      </c>
      <c r="H464" s="272">
        <f t="shared" si="23"/>
        <v>0</v>
      </c>
      <c r="I464" s="272">
        <f t="shared" si="23"/>
        <v>0</v>
      </c>
      <c r="J464" s="272">
        <f t="shared" si="23"/>
        <v>0</v>
      </c>
    </row>
    <row r="465" spans="1:10" s="72" customFormat="1" ht="12.75" hidden="1">
      <c r="A465" s="69" t="s">
        <v>291</v>
      </c>
      <c r="B465" s="320" t="s">
        <v>75</v>
      </c>
      <c r="C465" s="320" t="s">
        <v>290</v>
      </c>
      <c r="D465" s="320" t="s">
        <v>444</v>
      </c>
      <c r="E465" s="320" t="s">
        <v>146</v>
      </c>
      <c r="F465" s="320"/>
      <c r="G465" s="64"/>
      <c r="H465" s="307"/>
      <c r="I465" s="307"/>
      <c r="J465" s="307">
        <f>G465-H465</f>
        <v>0</v>
      </c>
    </row>
    <row r="466" spans="1:10" s="72" customFormat="1" ht="12.75" hidden="1">
      <c r="A466" s="169"/>
      <c r="B466" s="365"/>
      <c r="C466" s="366"/>
      <c r="D466" s="365"/>
      <c r="E466" s="365"/>
      <c r="F466" s="365"/>
      <c r="G466" s="367"/>
      <c r="H466" s="307"/>
      <c r="I466" s="307"/>
      <c r="J466" s="307">
        <f>G466+H466+I466</f>
        <v>0</v>
      </c>
    </row>
    <row r="467" spans="1:10" s="72" customFormat="1" ht="12.75" hidden="1">
      <c r="A467" s="169"/>
      <c r="B467" s="365"/>
      <c r="C467" s="366"/>
      <c r="D467" s="365"/>
      <c r="E467" s="365"/>
      <c r="F467" s="365"/>
      <c r="G467" s="367"/>
      <c r="H467" s="307"/>
      <c r="I467" s="307"/>
      <c r="J467" s="307">
        <f>G467+H467+I467</f>
        <v>0</v>
      </c>
    </row>
    <row r="468" spans="1:10" s="72" customFormat="1" ht="12.75">
      <c r="A468" s="57" t="s">
        <v>172</v>
      </c>
      <c r="B468" s="323" t="s">
        <v>88</v>
      </c>
      <c r="C468" s="320"/>
      <c r="D468" s="320"/>
      <c r="E468" s="320"/>
      <c r="F468" s="320"/>
      <c r="G468" s="319">
        <f>G483+G538+G469</f>
        <v>109922891.97</v>
      </c>
      <c r="H468" s="319">
        <f>H483+H538+H469</f>
        <v>73972843.25</v>
      </c>
      <c r="I468" s="319">
        <f>I483+I538+I469</f>
        <v>96917923.21000001</v>
      </c>
      <c r="J468" s="319">
        <f>J483+J538+J469</f>
        <v>35950048.720000006</v>
      </c>
    </row>
    <row r="469" spans="1:10" s="72" customFormat="1" ht="38.25">
      <c r="A469" s="108" t="s">
        <v>485</v>
      </c>
      <c r="B469" s="258" t="s">
        <v>88</v>
      </c>
      <c r="C469" s="258" t="s">
        <v>437</v>
      </c>
      <c r="D469" s="368"/>
      <c r="E469" s="368"/>
      <c r="F469" s="368"/>
      <c r="G469" s="322">
        <f aca="true" t="shared" si="24" ref="G469:J470">G470</f>
        <v>1244997.8399999999</v>
      </c>
      <c r="H469" s="322">
        <f t="shared" si="24"/>
        <v>1244816.63</v>
      </c>
      <c r="I469" s="322">
        <f t="shared" si="24"/>
        <v>1244816.63</v>
      </c>
      <c r="J469" s="322">
        <f t="shared" si="24"/>
        <v>181.20999999996275</v>
      </c>
    </row>
    <row r="470" spans="1:10" s="72" customFormat="1" ht="25.5">
      <c r="A470" s="104" t="s">
        <v>237</v>
      </c>
      <c r="B470" s="279" t="s">
        <v>88</v>
      </c>
      <c r="C470" s="279" t="s">
        <v>493</v>
      </c>
      <c r="D470" s="279" t="s">
        <v>219</v>
      </c>
      <c r="E470" s="286"/>
      <c r="F470" s="286"/>
      <c r="G470" s="319">
        <f t="shared" si="24"/>
        <v>1244997.8399999999</v>
      </c>
      <c r="H470" s="319">
        <f t="shared" si="24"/>
        <v>1244816.63</v>
      </c>
      <c r="I470" s="319">
        <f t="shared" si="24"/>
        <v>1244816.63</v>
      </c>
      <c r="J470" s="319">
        <f t="shared" si="24"/>
        <v>181.20999999996275</v>
      </c>
    </row>
    <row r="471" spans="1:10" s="72" customFormat="1" ht="25.5">
      <c r="A471" s="104" t="s">
        <v>226</v>
      </c>
      <c r="B471" s="279" t="s">
        <v>88</v>
      </c>
      <c r="C471" s="279" t="s">
        <v>494</v>
      </c>
      <c r="D471" s="279" t="s">
        <v>146</v>
      </c>
      <c r="E471" s="286"/>
      <c r="F471" s="286"/>
      <c r="G471" s="319">
        <f>G472+G473+G476+G479+G481</f>
        <v>1244997.8399999999</v>
      </c>
      <c r="H471" s="319">
        <f>H472+H473+H476+H479+H481</f>
        <v>1244816.63</v>
      </c>
      <c r="I471" s="319">
        <f>I472+I473+I476+I479+I481</f>
        <v>1244816.63</v>
      </c>
      <c r="J471" s="319">
        <f>J472+J473+J476+J479+J481</f>
        <v>181.20999999996275</v>
      </c>
    </row>
    <row r="472" spans="1:10" s="72" customFormat="1" ht="12.75">
      <c r="A472" s="105" t="s">
        <v>401</v>
      </c>
      <c r="B472" s="256" t="s">
        <v>88</v>
      </c>
      <c r="C472" s="256" t="s">
        <v>494</v>
      </c>
      <c r="D472" s="252" t="s">
        <v>146</v>
      </c>
      <c r="E472" s="252" t="s">
        <v>25</v>
      </c>
      <c r="F472" s="256"/>
      <c r="G472" s="64">
        <f>7065.8+7065.8+7065.8</f>
        <v>21197.4</v>
      </c>
      <c r="H472" s="307">
        <f>14131.6+7065.8</f>
        <v>21197.4</v>
      </c>
      <c r="I472" s="307">
        <f>14131.6+7065.8</f>
        <v>21197.4</v>
      </c>
      <c r="J472" s="307">
        <f>G472-H472</f>
        <v>0</v>
      </c>
    </row>
    <row r="473" spans="1:10" s="72" customFormat="1" ht="12.75">
      <c r="A473" s="109" t="s">
        <v>26</v>
      </c>
      <c r="B473" s="282" t="s">
        <v>88</v>
      </c>
      <c r="C473" s="256" t="s">
        <v>494</v>
      </c>
      <c r="D473" s="282" t="s">
        <v>146</v>
      </c>
      <c r="E473" s="282" t="s">
        <v>27</v>
      </c>
      <c r="F473" s="369"/>
      <c r="G473" s="59">
        <f>G474+G475</f>
        <v>328074</v>
      </c>
      <c r="H473" s="319">
        <f>H474+H475</f>
        <v>327978.51</v>
      </c>
      <c r="I473" s="319">
        <f>I474+I475</f>
        <v>327978.51</v>
      </c>
      <c r="J473" s="319">
        <f>J474+J475</f>
        <v>95.48999999999069</v>
      </c>
    </row>
    <row r="474" spans="1:10" s="72" customFormat="1" ht="25.5">
      <c r="A474" s="21" t="s">
        <v>306</v>
      </c>
      <c r="B474" s="256" t="s">
        <v>88</v>
      </c>
      <c r="C474" s="256" t="s">
        <v>494</v>
      </c>
      <c r="D474" s="252" t="s">
        <v>146</v>
      </c>
      <c r="E474" s="252" t="s">
        <v>27</v>
      </c>
      <c r="F474" s="256" t="s">
        <v>122</v>
      </c>
      <c r="G474" s="59"/>
      <c r="H474" s="319"/>
      <c r="I474" s="319"/>
      <c r="J474" s="319"/>
    </row>
    <row r="475" spans="1:10" s="72" customFormat="1" ht="12.75">
      <c r="A475" s="21" t="s">
        <v>307</v>
      </c>
      <c r="B475" s="256" t="s">
        <v>88</v>
      </c>
      <c r="C475" s="256" t="s">
        <v>494</v>
      </c>
      <c r="D475" s="252" t="s">
        <v>146</v>
      </c>
      <c r="E475" s="252" t="s">
        <v>27</v>
      </c>
      <c r="F475" s="256" t="s">
        <v>124</v>
      </c>
      <c r="G475" s="64">
        <f>216228+200000-28000-22154-38000</f>
        <v>328074</v>
      </c>
      <c r="H475" s="307">
        <f>171890+156088.51</f>
        <v>327978.51</v>
      </c>
      <c r="I475" s="307">
        <f>171890+156088.51</f>
        <v>327978.51</v>
      </c>
      <c r="J475" s="307">
        <f>G475-H475</f>
        <v>95.48999999999069</v>
      </c>
    </row>
    <row r="476" spans="1:10" s="72" customFormat="1" ht="12.75">
      <c r="A476" s="109" t="s">
        <v>29</v>
      </c>
      <c r="B476" s="281" t="s">
        <v>88</v>
      </c>
      <c r="C476" s="256" t="s">
        <v>494</v>
      </c>
      <c r="D476" s="282" t="s">
        <v>146</v>
      </c>
      <c r="E476" s="282" t="s">
        <v>30</v>
      </c>
      <c r="F476" s="256"/>
      <c r="G476" s="64">
        <f>G477+G478</f>
        <v>724126.44</v>
      </c>
      <c r="H476" s="319">
        <f>H477+H478</f>
        <v>724040.72</v>
      </c>
      <c r="I476" s="319">
        <f>I477+I478</f>
        <v>724040.72</v>
      </c>
      <c r="J476" s="319">
        <f>J477+J478</f>
        <v>85.71999999997206</v>
      </c>
    </row>
    <row r="477" spans="1:10" s="72" customFormat="1" ht="12.75">
      <c r="A477" s="21" t="s">
        <v>35</v>
      </c>
      <c r="B477" s="256" t="s">
        <v>88</v>
      </c>
      <c r="C477" s="256" t="s">
        <v>494</v>
      </c>
      <c r="D477" s="252" t="s">
        <v>146</v>
      </c>
      <c r="E477" s="252" t="s">
        <v>30</v>
      </c>
      <c r="F477" s="256" t="s">
        <v>375</v>
      </c>
      <c r="G477" s="64">
        <f>28000+22154</f>
        <v>50154</v>
      </c>
      <c r="H477" s="307">
        <f>28000+22154</f>
        <v>50154</v>
      </c>
      <c r="I477" s="307">
        <f>28000+22154</f>
        <v>50154</v>
      </c>
      <c r="J477" s="307">
        <f>G477-H477</f>
        <v>0</v>
      </c>
    </row>
    <row r="478" spans="1:12" s="72" customFormat="1" ht="12.75">
      <c r="A478" s="21" t="s">
        <v>308</v>
      </c>
      <c r="B478" s="256" t="s">
        <v>88</v>
      </c>
      <c r="C478" s="256" t="s">
        <v>494</v>
      </c>
      <c r="D478" s="252" t="s">
        <v>146</v>
      </c>
      <c r="E478" s="252" t="s">
        <v>30</v>
      </c>
      <c r="F478" s="256" t="s">
        <v>128</v>
      </c>
      <c r="G478" s="64">
        <f>915588.44-216228-70593.01+70593.01-63388+38000</f>
        <v>673972.44</v>
      </c>
      <c r="H478" s="307">
        <f>622167.5-88880.78+88800+51800</f>
        <v>673886.72</v>
      </c>
      <c r="I478" s="307">
        <f>622167.5-88880.78+88800+51800</f>
        <v>673886.72</v>
      </c>
      <c r="J478" s="319">
        <f>G478-H478</f>
        <v>85.71999999997206</v>
      </c>
      <c r="K478" s="155"/>
      <c r="L478" s="143"/>
    </row>
    <row r="479" spans="1:10" s="72" customFormat="1" ht="12.75">
      <c r="A479" s="109" t="s">
        <v>246</v>
      </c>
      <c r="B479" s="281" t="s">
        <v>88</v>
      </c>
      <c r="C479" s="256" t="s">
        <v>494</v>
      </c>
      <c r="D479" s="282" t="s">
        <v>146</v>
      </c>
      <c r="E479" s="282" t="s">
        <v>513</v>
      </c>
      <c r="F479" s="256"/>
      <c r="G479" s="319">
        <f>G480</f>
        <v>0</v>
      </c>
      <c r="H479" s="319">
        <f>H480</f>
        <v>0</v>
      </c>
      <c r="I479" s="319">
        <f>I480</f>
        <v>0</v>
      </c>
      <c r="J479" s="319">
        <f>J480</f>
        <v>0</v>
      </c>
    </row>
    <row r="480" spans="1:11" s="72" customFormat="1" ht="12.75">
      <c r="A480" s="21" t="s">
        <v>138</v>
      </c>
      <c r="B480" s="256" t="s">
        <v>88</v>
      </c>
      <c r="C480" s="256" t="s">
        <v>494</v>
      </c>
      <c r="D480" s="252" t="s">
        <v>146</v>
      </c>
      <c r="E480" s="252" t="s">
        <v>39</v>
      </c>
      <c r="F480" s="256" t="s">
        <v>131</v>
      </c>
      <c r="G480" s="307">
        <f>171600-171600</f>
        <v>0</v>
      </c>
      <c r="H480" s="307"/>
      <c r="I480" s="307"/>
      <c r="J480" s="307">
        <f>G480-H480</f>
        <v>0</v>
      </c>
      <c r="K480" s="143"/>
    </row>
    <row r="481" spans="1:10" s="72" customFormat="1" ht="12.75">
      <c r="A481" s="109" t="s">
        <v>309</v>
      </c>
      <c r="B481" s="281" t="s">
        <v>88</v>
      </c>
      <c r="C481" s="256" t="s">
        <v>494</v>
      </c>
      <c r="D481" s="282" t="s">
        <v>146</v>
      </c>
      <c r="E481" s="282" t="s">
        <v>497</v>
      </c>
      <c r="F481" s="296"/>
      <c r="G481" s="307">
        <f>G482</f>
        <v>171600</v>
      </c>
      <c r="H481" s="319">
        <f>H482</f>
        <v>171600</v>
      </c>
      <c r="I481" s="319">
        <f>I482</f>
        <v>171600</v>
      </c>
      <c r="J481" s="307">
        <f>J482</f>
        <v>0</v>
      </c>
    </row>
    <row r="482" spans="1:10" s="72" customFormat="1" ht="12.75">
      <c r="A482" s="21" t="s">
        <v>182</v>
      </c>
      <c r="B482" s="256" t="s">
        <v>88</v>
      </c>
      <c r="C482" s="256" t="s">
        <v>494</v>
      </c>
      <c r="D482" s="252" t="s">
        <v>146</v>
      </c>
      <c r="E482" s="252" t="s">
        <v>497</v>
      </c>
      <c r="F482" s="256" t="s">
        <v>133</v>
      </c>
      <c r="G482" s="307">
        <v>171600</v>
      </c>
      <c r="H482" s="307">
        <v>171600</v>
      </c>
      <c r="I482" s="307">
        <v>171600</v>
      </c>
      <c r="J482" s="307">
        <f>G482-H482</f>
        <v>0</v>
      </c>
    </row>
    <row r="483" spans="1:10" s="72" customFormat="1" ht="25.5">
      <c r="A483" s="108" t="s">
        <v>484</v>
      </c>
      <c r="B483" s="258" t="s">
        <v>88</v>
      </c>
      <c r="C483" s="258" t="s">
        <v>422</v>
      </c>
      <c r="D483" s="358"/>
      <c r="E483" s="358"/>
      <c r="F483" s="358"/>
      <c r="G483" s="106">
        <f>G484+G495+G500+G506+G516+G534+G535+G536+G537</f>
        <v>59284372.16</v>
      </c>
      <c r="H483" s="106">
        <f>H484+H495+H500+H506+H516+H534+H535+H536+H537</f>
        <v>23334504.65</v>
      </c>
      <c r="I483" s="106">
        <f>I484+I495+I500+I506+I516+I534+I535+I536+I537</f>
        <v>46279584.61</v>
      </c>
      <c r="J483" s="106">
        <f>J484+J495+J500+J506+J516+J534+J535+J536+J537</f>
        <v>35949867.510000005</v>
      </c>
    </row>
    <row r="484" spans="1:10" s="72" customFormat="1" ht="25.5">
      <c r="A484" s="110" t="s">
        <v>292</v>
      </c>
      <c r="B484" s="323" t="s">
        <v>88</v>
      </c>
      <c r="C484" s="323" t="s">
        <v>423</v>
      </c>
      <c r="D484" s="320"/>
      <c r="E484" s="320"/>
      <c r="F484" s="320"/>
      <c r="G484" s="319">
        <f>G485</f>
        <v>2385989.31</v>
      </c>
      <c r="H484" s="319">
        <f aca="true" t="shared" si="25" ref="H484:J485">H485</f>
        <v>2134639.23</v>
      </c>
      <c r="I484" s="319">
        <f t="shared" si="25"/>
        <v>2383629.11</v>
      </c>
      <c r="J484" s="319">
        <f t="shared" si="25"/>
        <v>251350.07999999984</v>
      </c>
    </row>
    <row r="485" spans="1:10" s="5" customFormat="1" ht="25.5">
      <c r="A485" s="104" t="s">
        <v>237</v>
      </c>
      <c r="B485" s="256" t="s">
        <v>88</v>
      </c>
      <c r="C485" s="323" t="s">
        <v>423</v>
      </c>
      <c r="D485" s="251" t="s">
        <v>219</v>
      </c>
      <c r="E485" s="252"/>
      <c r="F485" s="252"/>
      <c r="G485" s="319">
        <f>G486</f>
        <v>2385989.31</v>
      </c>
      <c r="H485" s="319">
        <f t="shared" si="25"/>
        <v>2134639.23</v>
      </c>
      <c r="I485" s="319">
        <f t="shared" si="25"/>
        <v>2383629.11</v>
      </c>
      <c r="J485" s="319">
        <f t="shared" si="25"/>
        <v>251350.07999999984</v>
      </c>
    </row>
    <row r="486" spans="1:10" s="5" customFormat="1" ht="25.5">
      <c r="A486" s="104" t="s">
        <v>226</v>
      </c>
      <c r="B486" s="320" t="s">
        <v>88</v>
      </c>
      <c r="C486" s="323" t="s">
        <v>423</v>
      </c>
      <c r="D486" s="323" t="s">
        <v>146</v>
      </c>
      <c r="E486" s="320"/>
      <c r="F486" s="320"/>
      <c r="G486" s="319">
        <f>G491+G493</f>
        <v>2385989.31</v>
      </c>
      <c r="H486" s="319">
        <f>H491+H493</f>
        <v>2134639.23</v>
      </c>
      <c r="I486" s="319">
        <f>I491+I493</f>
        <v>2383629.11</v>
      </c>
      <c r="J486" s="319">
        <f>J491+J493</f>
        <v>251350.07999999984</v>
      </c>
    </row>
    <row r="487" spans="1:10" s="67" customFormat="1" ht="12.75">
      <c r="A487" s="21" t="s">
        <v>29</v>
      </c>
      <c r="B487" s="320" t="s">
        <v>88</v>
      </c>
      <c r="C487" s="323" t="s">
        <v>423</v>
      </c>
      <c r="D487" s="320" t="s">
        <v>146</v>
      </c>
      <c r="E487" s="320"/>
      <c r="F487" s="320"/>
      <c r="G487" s="307"/>
      <c r="H487" s="307"/>
      <c r="I487" s="307"/>
      <c r="J487" s="307"/>
    </row>
    <row r="488" spans="1:10" s="67" customFormat="1" ht="12.75">
      <c r="A488" s="21" t="s">
        <v>138</v>
      </c>
      <c r="B488" s="320" t="s">
        <v>88</v>
      </c>
      <c r="C488" s="323" t="s">
        <v>423</v>
      </c>
      <c r="D488" s="320" t="s">
        <v>146</v>
      </c>
      <c r="E488" s="320"/>
      <c r="F488" s="320"/>
      <c r="G488" s="307"/>
      <c r="H488" s="307"/>
      <c r="I488" s="307"/>
      <c r="J488" s="307"/>
    </row>
    <row r="489" spans="1:10" s="67" customFormat="1" ht="12.75">
      <c r="A489" s="21" t="s">
        <v>182</v>
      </c>
      <c r="B489" s="320" t="s">
        <v>88</v>
      </c>
      <c r="C489" s="323" t="s">
        <v>423</v>
      </c>
      <c r="D489" s="320" t="s">
        <v>146</v>
      </c>
      <c r="E489" s="320"/>
      <c r="F489" s="320"/>
      <c r="G489" s="307"/>
      <c r="H489" s="307"/>
      <c r="I489" s="307"/>
      <c r="J489" s="307"/>
    </row>
    <row r="490" spans="1:10" s="67" customFormat="1" ht="12.75">
      <c r="A490" s="21" t="s">
        <v>182</v>
      </c>
      <c r="B490" s="320" t="s">
        <v>88</v>
      </c>
      <c r="C490" s="323" t="s">
        <v>423</v>
      </c>
      <c r="D490" s="320" t="s">
        <v>62</v>
      </c>
      <c r="E490" s="320"/>
      <c r="F490" s="320"/>
      <c r="G490" s="307"/>
      <c r="H490" s="307"/>
      <c r="I490" s="307"/>
      <c r="J490" s="307"/>
    </row>
    <row r="491" spans="1:13" s="14" customFormat="1" ht="12.75">
      <c r="A491" s="71" t="s">
        <v>23</v>
      </c>
      <c r="B491" s="320" t="s">
        <v>88</v>
      </c>
      <c r="C491" s="320" t="s">
        <v>423</v>
      </c>
      <c r="D491" s="320" t="s">
        <v>146</v>
      </c>
      <c r="E491" s="320" t="s">
        <v>24</v>
      </c>
      <c r="F491" s="320"/>
      <c r="G491" s="307">
        <f>G492</f>
        <v>1575054</v>
      </c>
      <c r="H491" s="307">
        <f>H492</f>
        <v>1326063.82</v>
      </c>
      <c r="I491" s="307">
        <f>I492</f>
        <v>1575053.7</v>
      </c>
      <c r="J491" s="307">
        <f>J492</f>
        <v>248990.17999999993</v>
      </c>
      <c r="K491" s="72"/>
      <c r="L491" s="72"/>
      <c r="M491" s="72"/>
    </row>
    <row r="492" spans="1:12" s="72" customFormat="1" ht="12.75">
      <c r="A492" s="71" t="s">
        <v>293</v>
      </c>
      <c r="B492" s="320" t="s">
        <v>88</v>
      </c>
      <c r="C492" s="320" t="s">
        <v>423</v>
      </c>
      <c r="D492" s="320" t="s">
        <v>615</v>
      </c>
      <c r="E492" s="320" t="s">
        <v>24</v>
      </c>
      <c r="F492" s="320" t="s">
        <v>118</v>
      </c>
      <c r="G492" s="64">
        <f>1900991-325937</f>
        <v>1575054</v>
      </c>
      <c r="H492" s="307">
        <v>1326063.82</v>
      </c>
      <c r="I492" s="64">
        <f>1411300+163753.7</f>
        <v>1575053.7</v>
      </c>
      <c r="J492" s="319">
        <f>G492-H492</f>
        <v>248990.17999999993</v>
      </c>
      <c r="K492" s="155"/>
      <c r="L492" s="143"/>
    </row>
    <row r="493" spans="1:11" s="72" customFormat="1" ht="12.75">
      <c r="A493" s="71" t="s">
        <v>26</v>
      </c>
      <c r="B493" s="320" t="s">
        <v>88</v>
      </c>
      <c r="C493" s="320" t="s">
        <v>423</v>
      </c>
      <c r="D493" s="320" t="s">
        <v>146</v>
      </c>
      <c r="E493" s="320" t="s">
        <v>27</v>
      </c>
      <c r="F493" s="320"/>
      <c r="G493" s="64">
        <f>G494</f>
        <v>810935.3099999999</v>
      </c>
      <c r="H493" s="307">
        <f>H494</f>
        <v>808575.41</v>
      </c>
      <c r="I493" s="64">
        <f>I494</f>
        <v>808575.41</v>
      </c>
      <c r="J493" s="307">
        <f>J494</f>
        <v>2359.899999999907</v>
      </c>
      <c r="K493" s="153"/>
    </row>
    <row r="494" spans="1:11" s="14" customFormat="1" ht="38.25">
      <c r="A494" s="21" t="s">
        <v>466</v>
      </c>
      <c r="B494" s="256" t="s">
        <v>88</v>
      </c>
      <c r="C494" s="320" t="s">
        <v>423</v>
      </c>
      <c r="D494" s="252" t="s">
        <v>146</v>
      </c>
      <c r="E494" s="252" t="s">
        <v>27</v>
      </c>
      <c r="F494" s="252" t="s">
        <v>124</v>
      </c>
      <c r="G494" s="64">
        <f>2257691.48-1440756-6000.17</f>
        <v>810935.3099999999</v>
      </c>
      <c r="H494" s="64">
        <v>808575.41</v>
      </c>
      <c r="I494" s="64">
        <f>H494</f>
        <v>808575.41</v>
      </c>
      <c r="J494" s="64">
        <f>G494-H494</f>
        <v>2359.899999999907</v>
      </c>
      <c r="K494" s="215"/>
    </row>
    <row r="495" spans="1:10" s="14" customFormat="1" ht="25.5">
      <c r="A495" s="110" t="s">
        <v>173</v>
      </c>
      <c r="B495" s="279" t="s">
        <v>88</v>
      </c>
      <c r="C495" s="251" t="s">
        <v>424</v>
      </c>
      <c r="D495" s="251"/>
      <c r="E495" s="251"/>
      <c r="F495" s="251"/>
      <c r="G495" s="319">
        <f>G496</f>
        <v>581997.69</v>
      </c>
      <c r="H495" s="319">
        <f aca="true" t="shared" si="26" ref="H495:J498">H496</f>
        <v>581997.09</v>
      </c>
      <c r="I495" s="59">
        <f t="shared" si="26"/>
        <v>581997.09</v>
      </c>
      <c r="J495" s="307">
        <f t="shared" si="26"/>
        <v>0.5999999999767169</v>
      </c>
    </row>
    <row r="496" spans="1:10" s="5" customFormat="1" ht="25.5">
      <c r="A496" s="104" t="s">
        <v>237</v>
      </c>
      <c r="B496" s="256" t="s">
        <v>88</v>
      </c>
      <c r="C496" s="251" t="s">
        <v>424</v>
      </c>
      <c r="D496" s="251" t="s">
        <v>219</v>
      </c>
      <c r="E496" s="251"/>
      <c r="F496" s="251"/>
      <c r="G496" s="307">
        <f>G497</f>
        <v>581997.69</v>
      </c>
      <c r="H496" s="307">
        <f t="shared" si="26"/>
        <v>581997.09</v>
      </c>
      <c r="I496" s="64">
        <f t="shared" si="26"/>
        <v>581997.09</v>
      </c>
      <c r="J496" s="307">
        <f t="shared" si="26"/>
        <v>0.5999999999767169</v>
      </c>
    </row>
    <row r="497" spans="1:12" s="5" customFormat="1" ht="25.5">
      <c r="A497" s="104" t="s">
        <v>226</v>
      </c>
      <c r="B497" s="256" t="s">
        <v>88</v>
      </c>
      <c r="C497" s="251" t="s">
        <v>424</v>
      </c>
      <c r="D497" s="251" t="s">
        <v>146</v>
      </c>
      <c r="E497" s="252"/>
      <c r="F497" s="252"/>
      <c r="G497" s="319">
        <f>G498</f>
        <v>581997.69</v>
      </c>
      <c r="H497" s="319">
        <f t="shared" si="26"/>
        <v>581997.09</v>
      </c>
      <c r="I497" s="59">
        <f t="shared" si="26"/>
        <v>581997.09</v>
      </c>
      <c r="J497" s="319">
        <f t="shared" si="26"/>
        <v>0.5999999999767169</v>
      </c>
      <c r="K497" s="155"/>
      <c r="L497" s="143"/>
    </row>
    <row r="498" spans="1:10" s="5" customFormat="1" ht="12.75">
      <c r="A498" s="21" t="s">
        <v>26</v>
      </c>
      <c r="B498" s="256" t="s">
        <v>88</v>
      </c>
      <c r="C498" s="252" t="s">
        <v>424</v>
      </c>
      <c r="D498" s="252" t="s">
        <v>146</v>
      </c>
      <c r="E498" s="252" t="s">
        <v>27</v>
      </c>
      <c r="F498" s="252"/>
      <c r="G498" s="307">
        <f>G499</f>
        <v>581997.69</v>
      </c>
      <c r="H498" s="307">
        <f t="shared" si="26"/>
        <v>581997.09</v>
      </c>
      <c r="I498" s="64">
        <f t="shared" si="26"/>
        <v>581997.09</v>
      </c>
      <c r="J498" s="307">
        <f t="shared" si="26"/>
        <v>0.5999999999767169</v>
      </c>
    </row>
    <row r="499" spans="1:12" s="5" customFormat="1" ht="12.75">
      <c r="A499" s="21" t="s">
        <v>294</v>
      </c>
      <c r="B499" s="256" t="s">
        <v>88</v>
      </c>
      <c r="C499" s="252" t="s">
        <v>424</v>
      </c>
      <c r="D499" s="252" t="s">
        <v>146</v>
      </c>
      <c r="E499" s="252" t="s">
        <v>27</v>
      </c>
      <c r="F499" s="252" t="s">
        <v>121</v>
      </c>
      <c r="G499" s="64">
        <f>629457.69-47460</f>
        <v>581997.69</v>
      </c>
      <c r="H499" s="272">
        <v>581997.09</v>
      </c>
      <c r="I499" s="64">
        <v>581997.09</v>
      </c>
      <c r="J499" s="272">
        <f>G499-H499</f>
        <v>0.5999999999767169</v>
      </c>
      <c r="K499" s="155"/>
      <c r="L499" s="143"/>
    </row>
    <row r="500" spans="1:10" s="5" customFormat="1" ht="25.5">
      <c r="A500" s="110" t="s">
        <v>295</v>
      </c>
      <c r="B500" s="279" t="s">
        <v>88</v>
      </c>
      <c r="C500" s="251" t="s">
        <v>425</v>
      </c>
      <c r="D500" s="251"/>
      <c r="E500" s="251"/>
      <c r="F500" s="251"/>
      <c r="G500" s="59">
        <f>G501</f>
        <v>8664005.36</v>
      </c>
      <c r="H500" s="319">
        <f aca="true" t="shared" si="27" ref="H500:J502">H501</f>
        <v>8549496.53</v>
      </c>
      <c r="I500" s="59">
        <f t="shared" si="27"/>
        <v>8664004.8</v>
      </c>
      <c r="J500" s="319">
        <f t="shared" si="27"/>
        <v>114508.83000000007</v>
      </c>
    </row>
    <row r="501" spans="1:10" s="5" customFormat="1" ht="25.5">
      <c r="A501" s="104" t="s">
        <v>237</v>
      </c>
      <c r="B501" s="279" t="s">
        <v>88</v>
      </c>
      <c r="C501" s="251" t="s">
        <v>425</v>
      </c>
      <c r="D501" s="251" t="s">
        <v>219</v>
      </c>
      <c r="E501" s="252"/>
      <c r="F501" s="252"/>
      <c r="G501" s="59">
        <f>G502</f>
        <v>8664005.36</v>
      </c>
      <c r="H501" s="319">
        <f t="shared" si="27"/>
        <v>8549496.53</v>
      </c>
      <c r="I501" s="319">
        <f t="shared" si="27"/>
        <v>8664004.8</v>
      </c>
      <c r="J501" s="319">
        <f t="shared" si="27"/>
        <v>114508.83000000007</v>
      </c>
    </row>
    <row r="502" spans="1:12" s="5" customFormat="1" ht="25.5">
      <c r="A502" s="104" t="s">
        <v>226</v>
      </c>
      <c r="B502" s="279" t="s">
        <v>88</v>
      </c>
      <c r="C502" s="251" t="s">
        <v>425</v>
      </c>
      <c r="D502" s="251" t="s">
        <v>146</v>
      </c>
      <c r="E502" s="252"/>
      <c r="F502" s="252"/>
      <c r="G502" s="59">
        <f>G503</f>
        <v>8664005.36</v>
      </c>
      <c r="H502" s="319">
        <f t="shared" si="27"/>
        <v>8549496.53</v>
      </c>
      <c r="I502" s="319">
        <f t="shared" si="27"/>
        <v>8664004.8</v>
      </c>
      <c r="J502" s="319">
        <f t="shared" si="27"/>
        <v>114508.83000000007</v>
      </c>
      <c r="K502" s="82"/>
      <c r="L502" s="82"/>
    </row>
    <row r="503" spans="1:11" s="5" customFormat="1" ht="12.75">
      <c r="A503" s="21" t="s">
        <v>26</v>
      </c>
      <c r="B503" s="256" t="s">
        <v>88</v>
      </c>
      <c r="C503" s="252" t="s">
        <v>425</v>
      </c>
      <c r="D503" s="252" t="s">
        <v>146</v>
      </c>
      <c r="E503" s="252" t="s">
        <v>27</v>
      </c>
      <c r="F503" s="252"/>
      <c r="G503" s="64">
        <f>G505+G504</f>
        <v>8664005.36</v>
      </c>
      <c r="H503" s="307">
        <f>H505+H504</f>
        <v>8549496.53</v>
      </c>
      <c r="I503" s="307">
        <f>I505+I504</f>
        <v>8664004.8</v>
      </c>
      <c r="J503" s="307">
        <f>J505+J504</f>
        <v>114508.83000000007</v>
      </c>
      <c r="K503" s="75"/>
    </row>
    <row r="504" spans="1:11" s="5" customFormat="1" ht="12.75">
      <c r="A504" s="21" t="s">
        <v>443</v>
      </c>
      <c r="B504" s="256" t="s">
        <v>88</v>
      </c>
      <c r="C504" s="252" t="s">
        <v>425</v>
      </c>
      <c r="D504" s="252" t="s">
        <v>146</v>
      </c>
      <c r="E504" s="252" t="s">
        <v>27</v>
      </c>
      <c r="F504" s="252" t="s">
        <v>121</v>
      </c>
      <c r="G504" s="64"/>
      <c r="H504" s="307"/>
      <c r="I504" s="307"/>
      <c r="J504" s="319">
        <f>G504-H504</f>
        <v>0</v>
      </c>
      <c r="K504" s="75"/>
    </row>
    <row r="505" spans="1:12" s="5" customFormat="1" ht="25.5">
      <c r="A505" s="21" t="s">
        <v>296</v>
      </c>
      <c r="B505" s="256" t="s">
        <v>88</v>
      </c>
      <c r="C505" s="252" t="s">
        <v>425</v>
      </c>
      <c r="D505" s="252" t="s">
        <v>146</v>
      </c>
      <c r="E505" s="252" t="s">
        <v>27</v>
      </c>
      <c r="F505" s="252" t="s">
        <v>124</v>
      </c>
      <c r="G505" s="64">
        <f>9529982.76-50767.4-815210</f>
        <v>8664005.36</v>
      </c>
      <c r="H505" s="272">
        <v>8549496.53</v>
      </c>
      <c r="I505" s="64">
        <v>8664004.8</v>
      </c>
      <c r="J505" s="319">
        <f>G505-H505</f>
        <v>114508.83000000007</v>
      </c>
      <c r="K505" s="155"/>
      <c r="L505" s="143"/>
    </row>
    <row r="506" spans="1:11" s="5" customFormat="1" ht="25.5">
      <c r="A506" s="110" t="s">
        <v>297</v>
      </c>
      <c r="B506" s="279" t="s">
        <v>88</v>
      </c>
      <c r="C506" s="251" t="s">
        <v>426</v>
      </c>
      <c r="D506" s="251"/>
      <c r="E506" s="251"/>
      <c r="F506" s="251"/>
      <c r="G506" s="59">
        <f>G507</f>
        <v>9144069.690000001</v>
      </c>
      <c r="H506" s="319">
        <f aca="true" t="shared" si="28" ref="G506:J507">H507</f>
        <v>499497.62</v>
      </c>
      <c r="I506" s="319">
        <f t="shared" si="28"/>
        <v>8943596</v>
      </c>
      <c r="J506" s="319">
        <f t="shared" si="28"/>
        <v>8644572.07</v>
      </c>
      <c r="K506" s="75"/>
    </row>
    <row r="507" spans="1:10" s="5" customFormat="1" ht="25.5">
      <c r="A507" s="104" t="s">
        <v>237</v>
      </c>
      <c r="B507" s="279" t="s">
        <v>88</v>
      </c>
      <c r="C507" s="251" t="s">
        <v>426</v>
      </c>
      <c r="D507" s="251" t="s">
        <v>219</v>
      </c>
      <c r="E507" s="286"/>
      <c r="F507" s="286"/>
      <c r="G507" s="64">
        <f t="shared" si="28"/>
        <v>9144069.690000001</v>
      </c>
      <c r="H507" s="307">
        <f t="shared" si="28"/>
        <v>499497.62</v>
      </c>
      <c r="I507" s="307">
        <f t="shared" si="28"/>
        <v>8943596</v>
      </c>
      <c r="J507" s="307">
        <f t="shared" si="28"/>
        <v>8644572.07</v>
      </c>
    </row>
    <row r="508" spans="1:12" s="5" customFormat="1" ht="25.5">
      <c r="A508" s="104" t="s">
        <v>226</v>
      </c>
      <c r="B508" s="279" t="s">
        <v>88</v>
      </c>
      <c r="C508" s="251" t="s">
        <v>426</v>
      </c>
      <c r="D508" s="251" t="s">
        <v>146</v>
      </c>
      <c r="E508" s="286"/>
      <c r="F508" s="286"/>
      <c r="G508" s="64">
        <f>G509+G511+G513+G514+G510+G515</f>
        <v>9144069.690000001</v>
      </c>
      <c r="H508" s="64">
        <f>H509+H511+H513+H514+H510+H515</f>
        <v>499497.62</v>
      </c>
      <c r="I508" s="64">
        <f>I509+I511+I513+I514+I510+I515</f>
        <v>8943596</v>
      </c>
      <c r="J508" s="64">
        <f>J509+J511+J513+J514+J510+J515</f>
        <v>8644572.07</v>
      </c>
      <c r="L508" s="76"/>
    </row>
    <row r="509" spans="1:12" s="5" customFormat="1" ht="12.75">
      <c r="A509" s="21" t="s">
        <v>26</v>
      </c>
      <c r="B509" s="256" t="s">
        <v>88</v>
      </c>
      <c r="C509" s="252" t="s">
        <v>426</v>
      </c>
      <c r="D509" s="252" t="s">
        <v>146</v>
      </c>
      <c r="E509" s="252" t="s">
        <v>27</v>
      </c>
      <c r="F509" s="286" t="s">
        <v>121</v>
      </c>
      <c r="G509" s="64">
        <f>647653.49-49222.64-466314.55</f>
        <v>132116.3</v>
      </c>
      <c r="H509" s="307">
        <v>0</v>
      </c>
      <c r="I509" s="307"/>
      <c r="J509" s="307">
        <f>G509-H509</f>
        <v>132116.3</v>
      </c>
      <c r="K509" s="142"/>
      <c r="L509" s="76"/>
    </row>
    <row r="510" spans="1:12" s="5" customFormat="1" ht="12.75">
      <c r="A510" s="21"/>
      <c r="B510" s="256" t="s">
        <v>88</v>
      </c>
      <c r="C510" s="252" t="s">
        <v>426</v>
      </c>
      <c r="D510" s="252" t="s">
        <v>146</v>
      </c>
      <c r="E510" s="252" t="s">
        <v>27</v>
      </c>
      <c r="F510" s="286" t="s">
        <v>124</v>
      </c>
      <c r="G510" s="64"/>
      <c r="H510" s="307"/>
      <c r="I510" s="307"/>
      <c r="J510" s="362">
        <f>G510-H510</f>
        <v>0</v>
      </c>
      <c r="K510" s="155"/>
      <c r="L510" s="143"/>
    </row>
    <row r="511" spans="1:10" s="5" customFormat="1" ht="12.75">
      <c r="A511" s="157" t="s">
        <v>35</v>
      </c>
      <c r="B511" s="256" t="s">
        <v>88</v>
      </c>
      <c r="C511" s="252" t="s">
        <v>426</v>
      </c>
      <c r="D511" s="252" t="s">
        <v>146</v>
      </c>
      <c r="E511" s="252" t="s">
        <v>30</v>
      </c>
      <c r="F511" s="252"/>
      <c r="G511" s="64">
        <f>G512</f>
        <v>8090601.350000001</v>
      </c>
      <c r="H511" s="307">
        <f>H512</f>
        <v>0</v>
      </c>
      <c r="I511" s="307">
        <f>I512</f>
        <v>8025565.0600000005</v>
      </c>
      <c r="J511" s="307">
        <f>J512</f>
        <v>8090601.350000001</v>
      </c>
    </row>
    <row r="512" spans="1:35" s="147" customFormat="1" ht="12.75">
      <c r="A512" s="157" t="s">
        <v>495</v>
      </c>
      <c r="B512" s="330" t="s">
        <v>88</v>
      </c>
      <c r="C512" s="330" t="s">
        <v>426</v>
      </c>
      <c r="D512" s="330" t="s">
        <v>146</v>
      </c>
      <c r="E512" s="252" t="s">
        <v>30</v>
      </c>
      <c r="F512" s="286" t="s">
        <v>128</v>
      </c>
      <c r="G512" s="64">
        <f>8859976.41+466314.55-1235689.61</f>
        <v>8090601.350000001</v>
      </c>
      <c r="H512" s="307">
        <v>0</v>
      </c>
      <c r="I512" s="307">
        <f>4354604.11+3670960.95</f>
        <v>8025565.0600000005</v>
      </c>
      <c r="J512" s="362">
        <f>G512-H512</f>
        <v>8090601.350000001</v>
      </c>
      <c r="K512" s="155"/>
      <c r="L512" s="143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</row>
    <row r="513" spans="1:35" s="147" customFormat="1" ht="12.75">
      <c r="A513" s="157"/>
      <c r="B513" s="330" t="s">
        <v>88</v>
      </c>
      <c r="C513" s="330" t="s">
        <v>426</v>
      </c>
      <c r="D513" s="330" t="s">
        <v>146</v>
      </c>
      <c r="E513" s="252" t="s">
        <v>24</v>
      </c>
      <c r="F513" s="286" t="s">
        <v>531</v>
      </c>
      <c r="G513" s="64">
        <f>600000+139960.98-739960.98</f>
        <v>0</v>
      </c>
      <c r="H513" s="307"/>
      <c r="I513" s="307"/>
      <c r="J513" s="362">
        <f>G513-H513</f>
        <v>0</v>
      </c>
      <c r="K513" s="155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</row>
    <row r="514" spans="1:35" s="147" customFormat="1" ht="12.75">
      <c r="A514" s="157" t="s">
        <v>544</v>
      </c>
      <c r="B514" s="330" t="s">
        <v>88</v>
      </c>
      <c r="C514" s="330" t="s">
        <v>426</v>
      </c>
      <c r="D514" s="330" t="s">
        <v>146</v>
      </c>
      <c r="E514" s="252" t="s">
        <v>39</v>
      </c>
      <c r="F514" s="286" t="s">
        <v>131</v>
      </c>
      <c r="G514" s="64"/>
      <c r="H514" s="307"/>
      <c r="I514" s="307"/>
      <c r="J514" s="362">
        <f>G514-H514</f>
        <v>0</v>
      </c>
      <c r="K514" s="155"/>
      <c r="L514" s="56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</row>
    <row r="515" spans="1:35" s="147" customFormat="1" ht="25.5">
      <c r="A515" s="157" t="s">
        <v>646</v>
      </c>
      <c r="B515" s="330" t="s">
        <v>88</v>
      </c>
      <c r="C515" s="330" t="s">
        <v>426</v>
      </c>
      <c r="D515" s="330" t="s">
        <v>146</v>
      </c>
      <c r="E515" s="252" t="s">
        <v>39</v>
      </c>
      <c r="F515" s="286" t="s">
        <v>131</v>
      </c>
      <c r="G515" s="64">
        <f>984452.54-63100.5</f>
        <v>921352.04</v>
      </c>
      <c r="H515" s="307">
        <v>499497.62</v>
      </c>
      <c r="I515" s="307">
        <f>418533.32+(565919.22-66421.6)</f>
        <v>918030.94</v>
      </c>
      <c r="J515" s="362">
        <f>G515-H515</f>
        <v>421854.42000000004</v>
      </c>
      <c r="K515" s="155"/>
      <c r="L515" s="56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</row>
    <row r="516" spans="1:11" s="5" customFormat="1" ht="25.5">
      <c r="A516" s="110" t="s">
        <v>298</v>
      </c>
      <c r="B516" s="279" t="s">
        <v>88</v>
      </c>
      <c r="C516" s="251" t="s">
        <v>427</v>
      </c>
      <c r="D516" s="251"/>
      <c r="E516" s="251"/>
      <c r="F516" s="251"/>
      <c r="G516" s="59">
        <f>G517+G532</f>
        <v>35261299.11</v>
      </c>
      <c r="H516" s="319">
        <f>H517+H532</f>
        <v>8694767.68</v>
      </c>
      <c r="I516" s="319">
        <f>I517+I532</f>
        <v>22832251.11</v>
      </c>
      <c r="J516" s="319">
        <f>J517+J532</f>
        <v>26566531.430000003</v>
      </c>
      <c r="K516" s="4"/>
    </row>
    <row r="517" spans="1:10" s="5" customFormat="1" ht="25.5">
      <c r="A517" s="104" t="s">
        <v>237</v>
      </c>
      <c r="B517" s="279" t="s">
        <v>88</v>
      </c>
      <c r="C517" s="251" t="s">
        <v>427</v>
      </c>
      <c r="D517" s="251" t="s">
        <v>219</v>
      </c>
      <c r="E517" s="252"/>
      <c r="F517" s="252"/>
      <c r="G517" s="59">
        <f>G518</f>
        <v>35261299.11</v>
      </c>
      <c r="H517" s="319">
        <f>H518</f>
        <v>8694767.68</v>
      </c>
      <c r="I517" s="319">
        <f>I518</f>
        <v>22832251.11</v>
      </c>
      <c r="J517" s="319">
        <f>J518</f>
        <v>26566531.430000003</v>
      </c>
    </row>
    <row r="518" spans="1:10" s="5" customFormat="1" ht="25.5">
      <c r="A518" s="104" t="s">
        <v>226</v>
      </c>
      <c r="B518" s="279" t="s">
        <v>88</v>
      </c>
      <c r="C518" s="251" t="s">
        <v>427</v>
      </c>
      <c r="D518" s="251" t="s">
        <v>146</v>
      </c>
      <c r="E518" s="252"/>
      <c r="F518" s="252"/>
      <c r="G518" s="319">
        <f>G519+G522+G526+G528</f>
        <v>35261299.11</v>
      </c>
      <c r="H518" s="319">
        <f>H519+H522+H526+H528</f>
        <v>8694767.68</v>
      </c>
      <c r="I518" s="319">
        <f>I519+I522+I526+I528</f>
        <v>22832251.11</v>
      </c>
      <c r="J518" s="319">
        <f>J519+J522+J526+J528</f>
        <v>26566531.430000003</v>
      </c>
    </row>
    <row r="519" spans="1:10" s="5" customFormat="1" ht="12.75">
      <c r="A519" s="21" t="s">
        <v>26</v>
      </c>
      <c r="B519" s="256" t="s">
        <v>88</v>
      </c>
      <c r="C519" s="252" t="s">
        <v>508</v>
      </c>
      <c r="D519" s="252" t="s">
        <v>146</v>
      </c>
      <c r="E519" s="252" t="s">
        <v>27</v>
      </c>
      <c r="F519" s="252"/>
      <c r="G519" s="272">
        <f>G520+G521</f>
        <v>3682776.2</v>
      </c>
      <c r="H519" s="272">
        <f>H520+H521</f>
        <v>3465759.96</v>
      </c>
      <c r="I519" s="272">
        <f>I520+I521</f>
        <v>3465759.96</v>
      </c>
      <c r="J519" s="272">
        <f>J520+J521</f>
        <v>217016.24000000022</v>
      </c>
    </row>
    <row r="520" spans="1:15" s="5" customFormat="1" ht="25.5">
      <c r="A520" s="21" t="s">
        <v>301</v>
      </c>
      <c r="B520" s="256" t="s">
        <v>88</v>
      </c>
      <c r="C520" s="252" t="s">
        <v>427</v>
      </c>
      <c r="D520" s="252" t="s">
        <v>146</v>
      </c>
      <c r="E520" s="252" t="s">
        <v>27</v>
      </c>
      <c r="F520" s="252" t="s">
        <v>122</v>
      </c>
      <c r="G520" s="64">
        <f>580000-300+3103076.2</f>
        <v>3682776.2</v>
      </c>
      <c r="H520" s="64">
        <f>425158.89+3040601.07</f>
        <v>3465759.96</v>
      </c>
      <c r="I520" s="64">
        <f>425158.89+3040601.07</f>
        <v>3465759.96</v>
      </c>
      <c r="J520" s="307">
        <f>G520-H520</f>
        <v>217016.24000000022</v>
      </c>
      <c r="K520" s="198"/>
      <c r="L520" s="198"/>
      <c r="M520" s="165"/>
      <c r="N520" s="142"/>
      <c r="O520" s="142"/>
    </row>
    <row r="521" spans="1:12" s="5" customFormat="1" ht="12.75">
      <c r="A521" s="370" t="s">
        <v>302</v>
      </c>
      <c r="B521" s="252" t="s">
        <v>88</v>
      </c>
      <c r="C521" s="252" t="s">
        <v>427</v>
      </c>
      <c r="D521" s="252" t="s">
        <v>146</v>
      </c>
      <c r="E521" s="252" t="s">
        <v>27</v>
      </c>
      <c r="F521" s="252" t="s">
        <v>124</v>
      </c>
      <c r="G521" s="272">
        <v>0</v>
      </c>
      <c r="H521" s="272"/>
      <c r="I521" s="64"/>
      <c r="J521" s="133"/>
      <c r="K521" s="56"/>
      <c r="L521" s="14"/>
    </row>
    <row r="522" spans="1:12" s="5" customFormat="1" ht="12.75">
      <c r="A522" s="371" t="s">
        <v>29</v>
      </c>
      <c r="B522" s="252" t="s">
        <v>88</v>
      </c>
      <c r="C522" s="252" t="s">
        <v>427</v>
      </c>
      <c r="D522" s="252" t="s">
        <v>146</v>
      </c>
      <c r="E522" s="252" t="s">
        <v>30</v>
      </c>
      <c r="F522" s="252"/>
      <c r="G522" s="307">
        <f>G523+G524+G525</f>
        <v>26244627.080000002</v>
      </c>
      <c r="H522" s="307">
        <f>H523+H524+H525</f>
        <v>706632.73</v>
      </c>
      <c r="I522" s="64">
        <f>I523+I524+I525</f>
        <v>14142200.49</v>
      </c>
      <c r="J522" s="307">
        <f>J523+J524+J525</f>
        <v>25537994.35</v>
      </c>
      <c r="K522" s="156"/>
      <c r="L522" s="14"/>
    </row>
    <row r="523" spans="1:12" s="5" customFormat="1" ht="12.75">
      <c r="A523" s="317" t="s">
        <v>29</v>
      </c>
      <c r="B523" s="252" t="s">
        <v>88</v>
      </c>
      <c r="C523" s="252" t="s">
        <v>427</v>
      </c>
      <c r="D523" s="252" t="s">
        <v>146</v>
      </c>
      <c r="E523" s="252" t="s">
        <v>30</v>
      </c>
      <c r="F523" s="252" t="s">
        <v>375</v>
      </c>
      <c r="G523" s="307">
        <f>677854.56-677854+100000</f>
        <v>100000.56000000006</v>
      </c>
      <c r="H523" s="307">
        <v>0</v>
      </c>
      <c r="I523" s="64"/>
      <c r="J523" s="64">
        <f>G523-H523</f>
        <v>100000.56000000006</v>
      </c>
      <c r="K523" s="140"/>
      <c r="L523" s="14"/>
    </row>
    <row r="524" spans="1:12" s="5" customFormat="1" ht="12.75">
      <c r="A524" s="317" t="s">
        <v>29</v>
      </c>
      <c r="B524" s="252" t="s">
        <v>88</v>
      </c>
      <c r="C524" s="252" t="s">
        <v>427</v>
      </c>
      <c r="D524" s="252" t="s">
        <v>146</v>
      </c>
      <c r="E524" s="252" t="s">
        <v>30</v>
      </c>
      <c r="F524" s="252" t="s">
        <v>402</v>
      </c>
      <c r="G524" s="307">
        <v>230000</v>
      </c>
      <c r="H524" s="307">
        <v>0</v>
      </c>
      <c r="I524" s="64">
        <v>230000</v>
      </c>
      <c r="J524" s="64">
        <f>G524-H524</f>
        <v>230000</v>
      </c>
      <c r="K524" s="56"/>
      <c r="L524" s="14"/>
    </row>
    <row r="525" spans="1:12" s="5" customFormat="1" ht="12.75">
      <c r="A525" s="317" t="s">
        <v>303</v>
      </c>
      <c r="B525" s="252" t="s">
        <v>88</v>
      </c>
      <c r="C525" s="252" t="s">
        <v>427</v>
      </c>
      <c r="D525" s="252" t="s">
        <v>146</v>
      </c>
      <c r="E525" s="252" t="s">
        <v>30</v>
      </c>
      <c r="F525" s="252" t="s">
        <v>128</v>
      </c>
      <c r="G525" s="64">
        <f>4400000+50767.4+44197.87+90141.24+20340720-406040.61+3576776-940720-1273268.8-230000-1294164+1556217.42</f>
        <v>25914626.520000003</v>
      </c>
      <c r="H525" s="272">
        <v>706632.73</v>
      </c>
      <c r="I525" s="64">
        <f>4377454.64+68180.87+44197.87+1727180.8+138969.09+499999.8+5500000+1556217.42</f>
        <v>13912200.49</v>
      </c>
      <c r="J525" s="64">
        <f>G525-H525</f>
        <v>25207993.790000003</v>
      </c>
      <c r="K525" s="144"/>
      <c r="L525" s="14"/>
    </row>
    <row r="526" spans="1:12" s="5" customFormat="1" ht="12.75">
      <c r="A526" s="109" t="s">
        <v>246</v>
      </c>
      <c r="B526" s="282" t="s">
        <v>88</v>
      </c>
      <c r="C526" s="252" t="s">
        <v>427</v>
      </c>
      <c r="D526" s="282" t="s">
        <v>146</v>
      </c>
      <c r="E526" s="282" t="s">
        <v>39</v>
      </c>
      <c r="F526" s="252"/>
      <c r="G526" s="64">
        <f>G527</f>
        <v>3697301.2199999997</v>
      </c>
      <c r="H526" s="307">
        <f>H527</f>
        <v>3105388.72</v>
      </c>
      <c r="I526" s="64">
        <f>I527</f>
        <v>3587704.3899999997</v>
      </c>
      <c r="J526" s="307">
        <f>J527</f>
        <v>591912.4999999995</v>
      </c>
      <c r="K526" s="56"/>
      <c r="L526" s="14"/>
    </row>
    <row r="527" spans="1:12" s="5" customFormat="1" ht="12.75">
      <c r="A527" s="21" t="s">
        <v>138</v>
      </c>
      <c r="B527" s="252" t="s">
        <v>88</v>
      </c>
      <c r="C527" s="252" t="s">
        <v>427</v>
      </c>
      <c r="D527" s="252" t="s">
        <v>146</v>
      </c>
      <c r="E527" s="252" t="s">
        <v>39</v>
      </c>
      <c r="F527" s="252" t="s">
        <v>131</v>
      </c>
      <c r="G527" s="64">
        <f>340730+200000+460250+268557.3+932857.72+1212367.2+1045023-761020-1464</f>
        <v>3697301.2199999997</v>
      </c>
      <c r="H527" s="272">
        <v>3105388.72</v>
      </c>
      <c r="I527" s="64">
        <f>200000+460250+216364.5+932857.72+482315.5+995023.17+300893.5</f>
        <v>3587704.3899999997</v>
      </c>
      <c r="J527" s="64">
        <f>G527-H527</f>
        <v>591912.4999999995</v>
      </c>
      <c r="K527" s="156"/>
      <c r="L527" s="14"/>
    </row>
    <row r="528" spans="1:12" s="5" customFormat="1" ht="12.75">
      <c r="A528" s="109" t="s">
        <v>309</v>
      </c>
      <c r="B528" s="282" t="s">
        <v>88</v>
      </c>
      <c r="C528" s="252" t="s">
        <v>427</v>
      </c>
      <c r="D528" s="282" t="s">
        <v>146</v>
      </c>
      <c r="E528" s="282" t="s">
        <v>42</v>
      </c>
      <c r="F528" s="252"/>
      <c r="G528" s="64">
        <f>G529+G530+G531</f>
        <v>1636594.6099999999</v>
      </c>
      <c r="H528" s="307">
        <f>H529+H530+H531</f>
        <v>1416986.27</v>
      </c>
      <c r="I528" s="64">
        <f>I529+I530+I531</f>
        <v>1636586.27</v>
      </c>
      <c r="J528" s="307">
        <f>J529+J530+J531</f>
        <v>219608.33999999997</v>
      </c>
      <c r="K528" s="56"/>
      <c r="L528" s="14"/>
    </row>
    <row r="529" spans="1:12" s="5" customFormat="1" ht="12.75">
      <c r="A529" s="109"/>
      <c r="B529" s="252" t="s">
        <v>88</v>
      </c>
      <c r="C529" s="252" t="s">
        <v>427</v>
      </c>
      <c r="D529" s="252" t="s">
        <v>146</v>
      </c>
      <c r="E529" s="252" t="s">
        <v>513</v>
      </c>
      <c r="F529" s="252" t="s">
        <v>193</v>
      </c>
      <c r="G529" s="64">
        <f>600000+406040.61-31930</f>
        <v>974110.61</v>
      </c>
      <c r="H529" s="307">
        <v>974102.27</v>
      </c>
      <c r="I529" s="64">
        <v>974102.27</v>
      </c>
      <c r="J529" s="64">
        <f>G529-H529</f>
        <v>8.339999999967404</v>
      </c>
      <c r="K529" s="56"/>
      <c r="L529" s="14"/>
    </row>
    <row r="530" spans="1:12" s="5" customFormat="1" ht="12.75">
      <c r="A530" s="109"/>
      <c r="B530" s="252" t="s">
        <v>88</v>
      </c>
      <c r="C530" s="252" t="s">
        <v>427</v>
      </c>
      <c r="D530" s="252" t="s">
        <v>146</v>
      </c>
      <c r="E530" s="252" t="s">
        <v>42</v>
      </c>
      <c r="F530" s="252" t="s">
        <v>377</v>
      </c>
      <c r="G530" s="64">
        <v>0</v>
      </c>
      <c r="H530" s="307"/>
      <c r="I530" s="64"/>
      <c r="J530" s="372"/>
      <c r="K530" s="56"/>
      <c r="L530" s="14"/>
    </row>
    <row r="531" spans="1:12" s="5" customFormat="1" ht="12.75">
      <c r="A531" s="21" t="s">
        <v>182</v>
      </c>
      <c r="B531" s="252" t="s">
        <v>88</v>
      </c>
      <c r="C531" s="252" t="s">
        <v>427</v>
      </c>
      <c r="D531" s="252" t="s">
        <v>146</v>
      </c>
      <c r="E531" s="252" t="s">
        <v>497</v>
      </c>
      <c r="F531" s="252" t="s">
        <v>133</v>
      </c>
      <c r="G531" s="64">
        <f>661020+1464</f>
        <v>662484</v>
      </c>
      <c r="H531" s="272">
        <v>442884</v>
      </c>
      <c r="I531" s="272">
        <f>442884+219600</f>
        <v>662484</v>
      </c>
      <c r="J531" s="64">
        <f>G531-H531</f>
        <v>219600</v>
      </c>
      <c r="K531" s="144"/>
      <c r="L531" s="154"/>
    </row>
    <row r="532" spans="1:12" s="5" customFormat="1" ht="12.75">
      <c r="A532" s="110" t="s">
        <v>269</v>
      </c>
      <c r="B532" s="279" t="s">
        <v>88</v>
      </c>
      <c r="C532" s="252" t="s">
        <v>427</v>
      </c>
      <c r="D532" s="251" t="s">
        <v>188</v>
      </c>
      <c r="E532" s="251"/>
      <c r="F532" s="251"/>
      <c r="G532" s="59">
        <f>G533</f>
        <v>0</v>
      </c>
      <c r="H532" s="319">
        <f>H533</f>
        <v>0</v>
      </c>
      <c r="I532" s="319">
        <f>I533</f>
        <v>0</v>
      </c>
      <c r="J532" s="319">
        <f>J533</f>
        <v>0</v>
      </c>
      <c r="K532" s="14"/>
      <c r="L532" s="14"/>
    </row>
    <row r="533" spans="1:11" s="5" customFormat="1" ht="25.5">
      <c r="A533" s="21" t="s">
        <v>378</v>
      </c>
      <c r="B533" s="256" t="s">
        <v>88</v>
      </c>
      <c r="C533" s="252" t="s">
        <v>427</v>
      </c>
      <c r="D533" s="252" t="s">
        <v>397</v>
      </c>
      <c r="E533" s="252" t="s">
        <v>146</v>
      </c>
      <c r="F533" s="252"/>
      <c r="G533" s="64"/>
      <c r="H533" s="64"/>
      <c r="I533" s="64"/>
      <c r="J533" s="59">
        <f>G533-H533</f>
        <v>0</v>
      </c>
      <c r="K533" s="142"/>
    </row>
    <row r="534" spans="1:11" s="5" customFormat="1" ht="51">
      <c r="A534" s="164" t="s">
        <v>524</v>
      </c>
      <c r="B534" s="256" t="s">
        <v>88</v>
      </c>
      <c r="C534" s="252" t="s">
        <v>526</v>
      </c>
      <c r="D534" s="252" t="s">
        <v>146</v>
      </c>
      <c r="E534" s="252" t="s">
        <v>30</v>
      </c>
      <c r="F534" s="252" t="s">
        <v>128</v>
      </c>
      <c r="G534" s="64">
        <f>190981+1500000-1324627.25</f>
        <v>366353.75</v>
      </c>
      <c r="H534" s="272"/>
      <c r="I534" s="272"/>
      <c r="J534" s="64">
        <f>G534-H534</f>
        <v>366353.75</v>
      </c>
      <c r="K534" s="76"/>
    </row>
    <row r="535" spans="1:10" s="5" customFormat="1" ht="51">
      <c r="A535" s="164" t="s">
        <v>525</v>
      </c>
      <c r="B535" s="256" t="s">
        <v>88</v>
      </c>
      <c r="C535" s="252" t="s">
        <v>527</v>
      </c>
      <c r="D535" s="252" t="s">
        <v>146</v>
      </c>
      <c r="E535" s="252" t="s">
        <v>30</v>
      </c>
      <c r="F535" s="252" t="s">
        <v>128</v>
      </c>
      <c r="G535" s="64">
        <f>56030-49479.25</f>
        <v>6550.75</v>
      </c>
      <c r="H535" s="272"/>
      <c r="I535" s="272"/>
      <c r="J535" s="64">
        <f>G535-H535</f>
        <v>6550.75</v>
      </c>
    </row>
    <row r="536" spans="1:12" s="5" customFormat="1" ht="51">
      <c r="A536" s="164" t="s">
        <v>524</v>
      </c>
      <c r="B536" s="256" t="s">
        <v>88</v>
      </c>
      <c r="C536" s="252" t="s">
        <v>526</v>
      </c>
      <c r="D536" s="252" t="s">
        <v>146</v>
      </c>
      <c r="E536" s="252" t="s">
        <v>39</v>
      </c>
      <c r="F536" s="252" t="s">
        <v>131</v>
      </c>
      <c r="G536" s="64">
        <f>1380000+3000000-1500000-1500000+1324627.25</f>
        <v>2704627.25</v>
      </c>
      <c r="H536" s="272">
        <f>1380000+1324627.25</f>
        <v>2704627.25</v>
      </c>
      <c r="I536" s="272">
        <f>1380000+1324627.25</f>
        <v>2704627.25</v>
      </c>
      <c r="J536" s="64">
        <f>G536-H536</f>
        <v>0</v>
      </c>
      <c r="K536" s="183"/>
      <c r="L536" s="184"/>
    </row>
    <row r="537" spans="1:10" s="5" customFormat="1" ht="51">
      <c r="A537" s="164" t="s">
        <v>525</v>
      </c>
      <c r="B537" s="256" t="s">
        <v>88</v>
      </c>
      <c r="C537" s="252" t="s">
        <v>527</v>
      </c>
      <c r="D537" s="252" t="s">
        <v>146</v>
      </c>
      <c r="E537" s="252" t="s">
        <v>39</v>
      </c>
      <c r="F537" s="252" t="s">
        <v>131</v>
      </c>
      <c r="G537" s="64">
        <f>120000+125160-69130-56030+49479.25</f>
        <v>169479.25</v>
      </c>
      <c r="H537" s="272">
        <f>120000+49479.25</f>
        <v>169479.25</v>
      </c>
      <c r="I537" s="272">
        <f>120000+49479.25</f>
        <v>169479.25</v>
      </c>
      <c r="J537" s="64">
        <f>G537-H537</f>
        <v>0</v>
      </c>
    </row>
    <row r="538" spans="1:18" s="5" customFormat="1" ht="25.5">
      <c r="A538" s="138" t="s">
        <v>492</v>
      </c>
      <c r="B538" s="373" t="s">
        <v>88</v>
      </c>
      <c r="C538" s="373"/>
      <c r="D538" s="374"/>
      <c r="E538" s="374"/>
      <c r="F538" s="374"/>
      <c r="G538" s="375">
        <f>G543</f>
        <v>49393521.970000006</v>
      </c>
      <c r="H538" s="375">
        <f>H543</f>
        <v>49393521.970000006</v>
      </c>
      <c r="I538" s="375">
        <f>I543</f>
        <v>49393521.970000006</v>
      </c>
      <c r="J538" s="375">
        <f>J543</f>
        <v>0</v>
      </c>
      <c r="K538" s="142"/>
      <c r="L538" s="142"/>
      <c r="M538" s="142"/>
      <c r="N538" s="142"/>
      <c r="O538" s="142"/>
      <c r="P538" s="142"/>
      <c r="Q538" s="142"/>
      <c r="R538" s="142"/>
    </row>
    <row r="539" spans="1:10" s="5" customFormat="1" ht="25.5">
      <c r="A539" s="104" t="s">
        <v>237</v>
      </c>
      <c r="B539" s="279" t="s">
        <v>88</v>
      </c>
      <c r="C539" s="251" t="s">
        <v>304</v>
      </c>
      <c r="D539" s="251" t="s">
        <v>219</v>
      </c>
      <c r="E539" s="341"/>
      <c r="F539" s="341"/>
      <c r="G539" s="319">
        <f>G540</f>
        <v>0</v>
      </c>
      <c r="H539" s="319">
        <f aca="true" t="shared" si="29" ref="H539:J541">H540</f>
        <v>0</v>
      </c>
      <c r="I539" s="319">
        <f t="shared" si="29"/>
        <v>0</v>
      </c>
      <c r="J539" s="319">
        <f t="shared" si="29"/>
        <v>0</v>
      </c>
    </row>
    <row r="540" spans="1:10" s="5" customFormat="1" ht="25.5">
      <c r="A540" s="104" t="s">
        <v>226</v>
      </c>
      <c r="B540" s="279" t="s">
        <v>88</v>
      </c>
      <c r="C540" s="251" t="s">
        <v>365</v>
      </c>
      <c r="D540" s="251" t="s">
        <v>146</v>
      </c>
      <c r="E540" s="252"/>
      <c r="F540" s="252"/>
      <c r="G540" s="307">
        <f>G541</f>
        <v>0</v>
      </c>
      <c r="H540" s="307">
        <f t="shared" si="29"/>
        <v>0</v>
      </c>
      <c r="I540" s="307">
        <f t="shared" si="29"/>
        <v>0</v>
      </c>
      <c r="J540" s="307">
        <f t="shared" si="29"/>
        <v>0</v>
      </c>
    </row>
    <row r="541" spans="1:10" s="5" customFormat="1" ht="12.75">
      <c r="A541" s="21" t="s">
        <v>26</v>
      </c>
      <c r="B541" s="256" t="s">
        <v>88</v>
      </c>
      <c r="C541" s="252" t="s">
        <v>365</v>
      </c>
      <c r="D541" s="252" t="s">
        <v>146</v>
      </c>
      <c r="E541" s="252" t="s">
        <v>27</v>
      </c>
      <c r="F541" s="251"/>
      <c r="G541" s="272">
        <f>G542</f>
        <v>0</v>
      </c>
      <c r="H541" s="272">
        <f t="shared" si="29"/>
        <v>0</v>
      </c>
      <c r="I541" s="272">
        <f t="shared" si="29"/>
        <v>0</v>
      </c>
      <c r="J541" s="272">
        <f t="shared" si="29"/>
        <v>0</v>
      </c>
    </row>
    <row r="542" spans="1:10" s="5" customFormat="1" ht="12.75">
      <c r="A542" s="21" t="s">
        <v>305</v>
      </c>
      <c r="B542" s="256" t="s">
        <v>88</v>
      </c>
      <c r="C542" s="252" t="s">
        <v>365</v>
      </c>
      <c r="D542" s="252" t="s">
        <v>146</v>
      </c>
      <c r="E542" s="252" t="s">
        <v>27</v>
      </c>
      <c r="F542" s="252" t="s">
        <v>122</v>
      </c>
      <c r="G542" s="272">
        <v>0</v>
      </c>
      <c r="H542" s="272"/>
      <c r="I542" s="272"/>
      <c r="J542" s="317"/>
    </row>
    <row r="543" spans="1:10" s="5" customFormat="1" ht="25.5">
      <c r="A543" s="104" t="s">
        <v>237</v>
      </c>
      <c r="B543" s="279" t="s">
        <v>88</v>
      </c>
      <c r="C543" s="251" t="s">
        <v>545</v>
      </c>
      <c r="D543" s="251" t="s">
        <v>219</v>
      </c>
      <c r="E543" s="251"/>
      <c r="F543" s="251"/>
      <c r="G543" s="313">
        <f>G544</f>
        <v>49393521.970000006</v>
      </c>
      <c r="H543" s="313">
        <f>H544</f>
        <v>49393521.970000006</v>
      </c>
      <c r="I543" s="313">
        <f>I544</f>
        <v>49393521.970000006</v>
      </c>
      <c r="J543" s="313">
        <f>J544</f>
        <v>0</v>
      </c>
    </row>
    <row r="544" spans="1:10" s="5" customFormat="1" ht="25.5">
      <c r="A544" s="104" t="s">
        <v>226</v>
      </c>
      <c r="B544" s="279" t="s">
        <v>88</v>
      </c>
      <c r="C544" s="251" t="s">
        <v>545</v>
      </c>
      <c r="D544" s="252" t="s">
        <v>146</v>
      </c>
      <c r="E544" s="252"/>
      <c r="F544" s="252"/>
      <c r="G544" s="313">
        <f>G545+G546+G548+G549+G550+G551+G552+G553</f>
        <v>49393521.970000006</v>
      </c>
      <c r="H544" s="313">
        <f>H545+H546+H548+H549+H550+H551+H552+H553</f>
        <v>49393521.970000006</v>
      </c>
      <c r="I544" s="313">
        <f>I545+I546+I548+I549+I550+I551+I552+I553</f>
        <v>49393521.970000006</v>
      </c>
      <c r="J544" s="313">
        <f>J545+J546+J548+J549+J550+J551+J552+J553</f>
        <v>0</v>
      </c>
    </row>
    <row r="545" spans="1:11" s="5" customFormat="1" ht="12.75">
      <c r="A545" s="21" t="s">
        <v>521</v>
      </c>
      <c r="B545" s="256" t="s">
        <v>88</v>
      </c>
      <c r="C545" s="252" t="s">
        <v>545</v>
      </c>
      <c r="D545" s="256" t="s">
        <v>146</v>
      </c>
      <c r="E545" s="256" t="s">
        <v>27</v>
      </c>
      <c r="F545" s="256" t="s">
        <v>122</v>
      </c>
      <c r="G545" s="64"/>
      <c r="H545" s="272"/>
      <c r="I545" s="272"/>
      <c r="J545" s="272">
        <f aca="true" t="shared" si="30" ref="J545:J555">G545-H545</f>
        <v>0</v>
      </c>
      <c r="K545" s="76"/>
    </row>
    <row r="546" spans="1:11" s="5" customFormat="1" ht="51">
      <c r="A546" s="21" t="s">
        <v>520</v>
      </c>
      <c r="B546" s="256" t="s">
        <v>88</v>
      </c>
      <c r="C546" s="252" t="s">
        <v>545</v>
      </c>
      <c r="D546" s="256" t="s">
        <v>146</v>
      </c>
      <c r="E546" s="174" t="s">
        <v>558</v>
      </c>
      <c r="F546" s="256" t="s">
        <v>122</v>
      </c>
      <c r="G546" s="64"/>
      <c r="H546" s="272"/>
      <c r="I546" s="272"/>
      <c r="J546" s="272">
        <f t="shared" si="30"/>
        <v>0</v>
      </c>
      <c r="K546" s="76"/>
    </row>
    <row r="547" spans="1:10" s="5" customFormat="1" ht="38.25">
      <c r="A547" s="21" t="s">
        <v>473</v>
      </c>
      <c r="B547" s="256" t="s">
        <v>88</v>
      </c>
      <c r="C547" s="252" t="s">
        <v>545</v>
      </c>
      <c r="D547" s="256" t="s">
        <v>146</v>
      </c>
      <c r="E547" s="174" t="s">
        <v>519</v>
      </c>
      <c r="F547" s="256" t="s">
        <v>122</v>
      </c>
      <c r="G547" s="64">
        <v>0</v>
      </c>
      <c r="H547" s="272"/>
      <c r="I547" s="272"/>
      <c r="J547" s="272">
        <f t="shared" si="30"/>
        <v>0</v>
      </c>
    </row>
    <row r="548" spans="1:11" s="5" customFormat="1" ht="51">
      <c r="A548" s="21" t="s">
        <v>471</v>
      </c>
      <c r="B548" s="256" t="s">
        <v>88</v>
      </c>
      <c r="C548" s="252" t="s">
        <v>545</v>
      </c>
      <c r="D548" s="256" t="s">
        <v>146</v>
      </c>
      <c r="E548" s="174" t="s">
        <v>627</v>
      </c>
      <c r="F548" s="256" t="s">
        <v>128</v>
      </c>
      <c r="G548" s="64">
        <f>11176470.59-364138.25-68214.7+1273268.8-1556217.42</f>
        <v>10461169.020000001</v>
      </c>
      <c r="H548" s="272">
        <f>5000000+5744117.64+1273268.8-1556217.42</f>
        <v>10461169.020000001</v>
      </c>
      <c r="I548" s="272">
        <f>5000000+5744117.64+1273268.8-1556217.42</f>
        <v>10461169.020000001</v>
      </c>
      <c r="J548" s="272">
        <f t="shared" si="30"/>
        <v>0</v>
      </c>
      <c r="K548" s="181"/>
    </row>
    <row r="549" spans="1:11" s="5" customFormat="1" ht="51">
      <c r="A549" s="21" t="s">
        <v>522</v>
      </c>
      <c r="B549" s="256" t="s">
        <v>88</v>
      </c>
      <c r="C549" s="252" t="s">
        <v>545</v>
      </c>
      <c r="D549" s="256" t="s">
        <v>146</v>
      </c>
      <c r="E549" s="174" t="s">
        <v>627</v>
      </c>
      <c r="F549" s="256" t="s">
        <v>128</v>
      </c>
      <c r="G549" s="64">
        <f>39500000-2450000.04+4500000-5500000</f>
        <v>36049999.96</v>
      </c>
      <c r="H549" s="272">
        <f>4500000+32549999.96+4500000-5500000</f>
        <v>36049999.96</v>
      </c>
      <c r="I549" s="272">
        <f>4500000+32549999.96+4500000-5500000</f>
        <v>36049999.96</v>
      </c>
      <c r="J549" s="272">
        <f t="shared" si="30"/>
        <v>0</v>
      </c>
      <c r="K549" s="181"/>
    </row>
    <row r="550" spans="1:11" s="5" customFormat="1" ht="25.5">
      <c r="A550" s="21" t="s">
        <v>523</v>
      </c>
      <c r="B550" s="256" t="s">
        <v>88</v>
      </c>
      <c r="C550" s="252" t="s">
        <v>545</v>
      </c>
      <c r="D550" s="256" t="s">
        <v>146</v>
      </c>
      <c r="E550" s="174" t="s">
        <v>472</v>
      </c>
      <c r="F550" s="256" t="s">
        <v>131</v>
      </c>
      <c r="G550" s="64"/>
      <c r="H550" s="272"/>
      <c r="I550" s="272"/>
      <c r="J550" s="272">
        <f t="shared" si="30"/>
        <v>0</v>
      </c>
      <c r="K550" s="186"/>
    </row>
    <row r="551" spans="1:11" s="5" customFormat="1" ht="51">
      <c r="A551" s="21" t="s">
        <v>470</v>
      </c>
      <c r="B551" s="256" t="s">
        <v>88</v>
      </c>
      <c r="C551" s="252" t="s">
        <v>545</v>
      </c>
      <c r="D551" s="256" t="s">
        <v>146</v>
      </c>
      <c r="E551" s="174" t="s">
        <v>559</v>
      </c>
      <c r="F551" s="256" t="s">
        <v>131</v>
      </c>
      <c r="G551" s="64"/>
      <c r="H551" s="272"/>
      <c r="I551" s="272"/>
      <c r="J551" s="272">
        <f t="shared" si="30"/>
        <v>0</v>
      </c>
      <c r="K551" s="177"/>
    </row>
    <row r="552" spans="1:11" s="5" customFormat="1" ht="51">
      <c r="A552" s="21" t="s">
        <v>629</v>
      </c>
      <c r="B552" s="256" t="s">
        <v>88</v>
      </c>
      <c r="C552" s="252" t="s">
        <v>545</v>
      </c>
      <c r="D552" s="256" t="s">
        <v>146</v>
      </c>
      <c r="E552" s="174" t="s">
        <v>628</v>
      </c>
      <c r="F552" s="256" t="s">
        <v>193</v>
      </c>
      <c r="G552" s="64">
        <f>364138.25+68214.7</f>
        <v>432352.95</v>
      </c>
      <c r="H552" s="272">
        <v>432352.95</v>
      </c>
      <c r="I552" s="272">
        <v>432352.95</v>
      </c>
      <c r="J552" s="272">
        <f t="shared" si="30"/>
        <v>0</v>
      </c>
      <c r="K552" s="186"/>
    </row>
    <row r="553" spans="1:11" s="5" customFormat="1" ht="51">
      <c r="A553" s="21" t="s">
        <v>630</v>
      </c>
      <c r="B553" s="256" t="s">
        <v>88</v>
      </c>
      <c r="C553" s="252" t="s">
        <v>545</v>
      </c>
      <c r="D553" s="256" t="s">
        <v>146</v>
      </c>
      <c r="E553" s="174" t="s">
        <v>628</v>
      </c>
      <c r="F553" s="256" t="s">
        <v>193</v>
      </c>
      <c r="G553" s="64">
        <v>2450000.04</v>
      </c>
      <c r="H553" s="272">
        <v>2450000.04</v>
      </c>
      <c r="I553" s="272">
        <v>2450000.04</v>
      </c>
      <c r="J553" s="272">
        <f t="shared" si="30"/>
        <v>0</v>
      </c>
      <c r="K553" s="177"/>
    </row>
    <row r="554" spans="1:11" s="5" customFormat="1" ht="12.75">
      <c r="A554" s="57" t="s">
        <v>171</v>
      </c>
      <c r="B554" s="256"/>
      <c r="C554" s="252"/>
      <c r="D554" s="256"/>
      <c r="E554" s="174"/>
      <c r="F554" s="256"/>
      <c r="G554" s="64"/>
      <c r="H554" s="272"/>
      <c r="I554" s="272"/>
      <c r="J554" s="272"/>
      <c r="K554" s="177"/>
    </row>
    <row r="555" spans="1:11" s="5" customFormat="1" ht="12.75">
      <c r="A555" s="21" t="s">
        <v>623</v>
      </c>
      <c r="B555" s="256" t="s">
        <v>88</v>
      </c>
      <c r="C555" s="252" t="s">
        <v>448</v>
      </c>
      <c r="D555" s="256" t="s">
        <v>146</v>
      </c>
      <c r="E555" s="38" t="s">
        <v>21</v>
      </c>
      <c r="F555" s="256" t="s">
        <v>117</v>
      </c>
      <c r="G555" s="64">
        <f>55294.1-55294.1</f>
        <v>0</v>
      </c>
      <c r="H555" s="272"/>
      <c r="I555" s="272"/>
      <c r="J555" s="272">
        <f t="shared" si="30"/>
        <v>0</v>
      </c>
      <c r="K555" s="177"/>
    </row>
    <row r="556" spans="1:54" s="14" customFormat="1" ht="12.75">
      <c r="A556" s="44" t="s">
        <v>89</v>
      </c>
      <c r="B556" s="247" t="s">
        <v>90</v>
      </c>
      <c r="C556" s="247"/>
      <c r="D556" s="247"/>
      <c r="E556" s="247"/>
      <c r="F556" s="247"/>
      <c r="G556" s="52">
        <f>G558</f>
        <v>1875723.2</v>
      </c>
      <c r="H556" s="52">
        <f>H558</f>
        <v>1553542.48</v>
      </c>
      <c r="I556" s="52">
        <f>I558</f>
        <v>1778542.42</v>
      </c>
      <c r="J556" s="52">
        <f>J558</f>
        <v>322180.72</v>
      </c>
      <c r="K556" s="153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2"/>
      <c r="AT556" s="72"/>
      <c r="AU556" s="72"/>
      <c r="AV556" s="72"/>
      <c r="AW556" s="72"/>
      <c r="AX556" s="72"/>
      <c r="AY556" s="72"/>
      <c r="AZ556" s="72"/>
      <c r="BA556" s="72"/>
      <c r="BB556" s="72"/>
    </row>
    <row r="557" spans="1:10" s="5" customFormat="1" ht="12.75">
      <c r="A557" s="57" t="s">
        <v>172</v>
      </c>
      <c r="B557" s="251"/>
      <c r="C557" s="251"/>
      <c r="D557" s="251"/>
      <c r="E557" s="251"/>
      <c r="F557" s="251"/>
      <c r="G557" s="64"/>
      <c r="H557" s="64"/>
      <c r="I557" s="64"/>
      <c r="J557" s="317"/>
    </row>
    <row r="558" spans="1:11" s="14" customFormat="1" ht="38.25">
      <c r="A558" s="108" t="s">
        <v>496</v>
      </c>
      <c r="B558" s="258" t="s">
        <v>102</v>
      </c>
      <c r="C558" s="258" t="s">
        <v>428</v>
      </c>
      <c r="D558" s="258"/>
      <c r="E558" s="258"/>
      <c r="F558" s="258"/>
      <c r="G558" s="106">
        <f>G559+G580</f>
        <v>1875723.2</v>
      </c>
      <c r="H558" s="106">
        <f>H559+H580+H584+H585+H586</f>
        <v>1553542.48</v>
      </c>
      <c r="I558" s="106">
        <f>I559+I580+I584+I585+I586</f>
        <v>1778542.42</v>
      </c>
      <c r="J558" s="106">
        <f>J559+J580+J584+J585+J586</f>
        <v>322180.72</v>
      </c>
      <c r="K558" s="154"/>
    </row>
    <row r="559" spans="1:10" s="5" customFormat="1" ht="25.5">
      <c r="A559" s="104" t="s">
        <v>237</v>
      </c>
      <c r="B559" s="323" t="s">
        <v>102</v>
      </c>
      <c r="C559" s="323" t="s">
        <v>429</v>
      </c>
      <c r="D559" s="323" t="s">
        <v>219</v>
      </c>
      <c r="E559" s="323"/>
      <c r="F559" s="323"/>
      <c r="G559" s="319">
        <f>G564+G567</f>
        <v>1025723.2</v>
      </c>
      <c r="H559" s="319">
        <f>H564+H567</f>
        <v>853442.48</v>
      </c>
      <c r="I559" s="319">
        <f>I564+I567</f>
        <v>853442.42</v>
      </c>
      <c r="J559" s="319">
        <f>J564+J567</f>
        <v>172280.71999999997</v>
      </c>
    </row>
    <row r="560" spans="1:10" s="5" customFormat="1" ht="25.5" hidden="1">
      <c r="A560" s="104" t="s">
        <v>226</v>
      </c>
      <c r="B560" s="251" t="s">
        <v>102</v>
      </c>
      <c r="C560" s="251" t="s">
        <v>198</v>
      </c>
      <c r="D560" s="251" t="s">
        <v>146</v>
      </c>
      <c r="E560" s="251" t="s">
        <v>21</v>
      </c>
      <c r="F560" s="251" t="s">
        <v>117</v>
      </c>
      <c r="G560" s="64"/>
      <c r="H560" s="64"/>
      <c r="I560" s="64"/>
      <c r="J560" s="64"/>
    </row>
    <row r="561" spans="1:10" s="67" customFormat="1" ht="25.5" hidden="1">
      <c r="A561" s="104" t="s">
        <v>237</v>
      </c>
      <c r="B561" s="251" t="s">
        <v>102</v>
      </c>
      <c r="C561" s="251" t="s">
        <v>174</v>
      </c>
      <c r="D561" s="251" t="s">
        <v>146</v>
      </c>
      <c r="E561" s="251" t="s">
        <v>36</v>
      </c>
      <c r="F561" s="251" t="s">
        <v>130</v>
      </c>
      <c r="G561" s="64"/>
      <c r="H561" s="64"/>
      <c r="I561" s="64"/>
      <c r="J561" s="64"/>
    </row>
    <row r="562" spans="1:10" s="67" customFormat="1" ht="25.5" hidden="1">
      <c r="A562" s="104" t="s">
        <v>226</v>
      </c>
      <c r="B562" s="251" t="s">
        <v>102</v>
      </c>
      <c r="C562" s="251" t="s">
        <v>198</v>
      </c>
      <c r="D562" s="251" t="s">
        <v>146</v>
      </c>
      <c r="E562" s="251" t="s">
        <v>36</v>
      </c>
      <c r="F562" s="251" t="s">
        <v>134</v>
      </c>
      <c r="G562" s="64"/>
      <c r="H562" s="64"/>
      <c r="I562" s="64"/>
      <c r="J562" s="64"/>
    </row>
    <row r="563" spans="1:10" s="67" customFormat="1" ht="25.5" hidden="1">
      <c r="A563" s="104" t="s">
        <v>237</v>
      </c>
      <c r="B563" s="320" t="s">
        <v>102</v>
      </c>
      <c r="C563" s="320" t="s">
        <v>198</v>
      </c>
      <c r="D563" s="320" t="s">
        <v>146</v>
      </c>
      <c r="E563" s="320" t="s">
        <v>36</v>
      </c>
      <c r="F563" s="320" t="s">
        <v>134</v>
      </c>
      <c r="G563" s="307"/>
      <c r="H563" s="307"/>
      <c r="I563" s="307"/>
      <c r="J563" s="307"/>
    </row>
    <row r="564" spans="1:10" s="72" customFormat="1" ht="38.25">
      <c r="A564" s="104" t="s">
        <v>225</v>
      </c>
      <c r="B564" s="320" t="s">
        <v>102</v>
      </c>
      <c r="C564" s="323" t="s">
        <v>430</v>
      </c>
      <c r="D564" s="323" t="s">
        <v>456</v>
      </c>
      <c r="E564" s="320"/>
      <c r="F564" s="320"/>
      <c r="G564" s="307">
        <f aca="true" t="shared" si="31" ref="G564:J565">G565</f>
        <v>34800</v>
      </c>
      <c r="H564" s="307">
        <f t="shared" si="31"/>
        <v>34800</v>
      </c>
      <c r="I564" s="307">
        <f t="shared" si="31"/>
        <v>34800</v>
      </c>
      <c r="J564" s="307">
        <f t="shared" si="31"/>
        <v>0</v>
      </c>
    </row>
    <row r="565" spans="1:10" s="72" customFormat="1" ht="12.75">
      <c r="A565" s="111" t="s">
        <v>35</v>
      </c>
      <c r="B565" s="376" t="s">
        <v>102</v>
      </c>
      <c r="C565" s="320" t="s">
        <v>430</v>
      </c>
      <c r="D565" s="376" t="s">
        <v>44</v>
      </c>
      <c r="E565" s="376" t="s">
        <v>30</v>
      </c>
      <c r="F565" s="320"/>
      <c r="G565" s="307">
        <f t="shared" si="31"/>
        <v>34800</v>
      </c>
      <c r="H565" s="377">
        <f t="shared" si="31"/>
        <v>34800</v>
      </c>
      <c r="I565" s="377">
        <f t="shared" si="31"/>
        <v>34800</v>
      </c>
      <c r="J565" s="377">
        <f t="shared" si="31"/>
        <v>0</v>
      </c>
    </row>
    <row r="566" spans="1:11" s="72" customFormat="1" ht="12.75">
      <c r="A566" s="71" t="s">
        <v>458</v>
      </c>
      <c r="B566" s="320" t="s">
        <v>102</v>
      </c>
      <c r="C566" s="320" t="s">
        <v>430</v>
      </c>
      <c r="D566" s="320" t="s">
        <v>44</v>
      </c>
      <c r="E566" s="320" t="s">
        <v>30</v>
      </c>
      <c r="F566" s="320" t="s">
        <v>134</v>
      </c>
      <c r="G566" s="307">
        <v>34800</v>
      </c>
      <c r="H566" s="307">
        <v>34800</v>
      </c>
      <c r="I566" s="307">
        <v>34800</v>
      </c>
      <c r="J566" s="319">
        <f>G566-H566</f>
        <v>0</v>
      </c>
      <c r="K566" s="143"/>
    </row>
    <row r="567" spans="1:10" s="72" customFormat="1" ht="25.5">
      <c r="A567" s="104" t="s">
        <v>226</v>
      </c>
      <c r="B567" s="323" t="s">
        <v>102</v>
      </c>
      <c r="C567" s="323" t="s">
        <v>430</v>
      </c>
      <c r="D567" s="323" t="s">
        <v>146</v>
      </c>
      <c r="E567" s="323"/>
      <c r="F567" s="323"/>
      <c r="G567" s="319">
        <f>G568+G570+G572+G577+G575</f>
        <v>990923.2</v>
      </c>
      <c r="H567" s="319">
        <f>H568+H570+H572+H577+H575</f>
        <v>818642.48</v>
      </c>
      <c r="I567" s="319">
        <f>I568+I570+I572+I577+I575</f>
        <v>818642.42</v>
      </c>
      <c r="J567" s="319">
        <f>J568+J570+J572+J577+J575</f>
        <v>172280.71999999997</v>
      </c>
    </row>
    <row r="568" spans="1:12" s="72" customFormat="1" ht="12.75">
      <c r="A568" s="111" t="s">
        <v>20</v>
      </c>
      <c r="B568" s="376" t="s">
        <v>102</v>
      </c>
      <c r="C568" s="320" t="s">
        <v>430</v>
      </c>
      <c r="D568" s="376" t="s">
        <v>146</v>
      </c>
      <c r="E568" s="376" t="s">
        <v>21</v>
      </c>
      <c r="F568" s="376"/>
      <c r="G568" s="307">
        <f>G569</f>
        <v>0</v>
      </c>
      <c r="H568" s="307">
        <f>H569</f>
        <v>0</v>
      </c>
      <c r="I568" s="307">
        <f>I569</f>
        <v>0</v>
      </c>
      <c r="J568" s="307">
        <f>J569</f>
        <v>0</v>
      </c>
      <c r="L568" s="84"/>
    </row>
    <row r="569" spans="1:10" s="72" customFormat="1" ht="12.75">
      <c r="A569" s="71" t="s">
        <v>312</v>
      </c>
      <c r="B569" s="320" t="s">
        <v>102</v>
      </c>
      <c r="C569" s="320" t="s">
        <v>430</v>
      </c>
      <c r="D569" s="320" t="s">
        <v>146</v>
      </c>
      <c r="E569" s="320" t="s">
        <v>21</v>
      </c>
      <c r="F569" s="320" t="s">
        <v>117</v>
      </c>
      <c r="G569" s="64">
        <f>195800-88000-107800</f>
        <v>0</v>
      </c>
      <c r="H569" s="307"/>
      <c r="I569" s="307"/>
      <c r="J569" s="307">
        <f>G569-H569</f>
        <v>0</v>
      </c>
    </row>
    <row r="570" spans="1:10" s="72" customFormat="1" ht="12.75">
      <c r="A570" s="111" t="s">
        <v>29</v>
      </c>
      <c r="B570" s="376" t="s">
        <v>102</v>
      </c>
      <c r="C570" s="320" t="s">
        <v>430</v>
      </c>
      <c r="D570" s="376" t="s">
        <v>146</v>
      </c>
      <c r="E570" s="376" t="s">
        <v>30</v>
      </c>
      <c r="F570" s="320"/>
      <c r="G570" s="64">
        <f>G571</f>
        <v>554923.2</v>
      </c>
      <c r="H570" s="307">
        <f>H571</f>
        <v>509940.92</v>
      </c>
      <c r="I570" s="307">
        <f>I571</f>
        <v>509940.86</v>
      </c>
      <c r="J570" s="307">
        <f>J571</f>
        <v>44982.27999999997</v>
      </c>
    </row>
    <row r="571" spans="1:13" s="72" customFormat="1" ht="25.5">
      <c r="A571" s="71" t="s">
        <v>313</v>
      </c>
      <c r="B571" s="320" t="s">
        <v>102</v>
      </c>
      <c r="C571" s="320" t="s">
        <v>430</v>
      </c>
      <c r="D571" s="320" t="s">
        <v>146</v>
      </c>
      <c r="E571" s="320" t="s">
        <v>30</v>
      </c>
      <c r="F571" s="320" t="s">
        <v>128</v>
      </c>
      <c r="G571" s="64">
        <f>940000-1000+250723.2-600000-34800</f>
        <v>554923.2</v>
      </c>
      <c r="H571" s="307">
        <v>509940.92</v>
      </c>
      <c r="I571" s="307">
        <f>29217.74+480723.12</f>
        <v>509940.86</v>
      </c>
      <c r="J571" s="319">
        <f>G571-H571</f>
        <v>44982.27999999997</v>
      </c>
      <c r="K571" s="155"/>
      <c r="L571" s="143"/>
      <c r="M571" s="180"/>
    </row>
    <row r="572" spans="1:10" s="72" customFormat="1" ht="12.75">
      <c r="A572" s="111" t="s">
        <v>35</v>
      </c>
      <c r="B572" s="376" t="s">
        <v>102</v>
      </c>
      <c r="C572" s="320" t="s">
        <v>430</v>
      </c>
      <c r="D572" s="376" t="s">
        <v>146</v>
      </c>
      <c r="E572" s="376" t="s">
        <v>453</v>
      </c>
      <c r="F572" s="376"/>
      <c r="G572" s="64">
        <f>G573+G574</f>
        <v>0</v>
      </c>
      <c r="H572" s="307">
        <f>H573+H574</f>
        <v>0</v>
      </c>
      <c r="I572" s="307">
        <f>I573+I574</f>
        <v>0</v>
      </c>
      <c r="J572" s="307">
        <f>J573+J574</f>
        <v>0</v>
      </c>
    </row>
    <row r="573" spans="1:10" s="72" customFormat="1" ht="12.75">
      <c r="A573" s="71" t="s">
        <v>194</v>
      </c>
      <c r="B573" s="320" t="s">
        <v>102</v>
      </c>
      <c r="C573" s="320" t="s">
        <v>430</v>
      </c>
      <c r="D573" s="320" t="s">
        <v>146</v>
      </c>
      <c r="E573" s="320" t="s">
        <v>453</v>
      </c>
      <c r="F573" s="320" t="s">
        <v>130</v>
      </c>
      <c r="G573" s="64">
        <v>0</v>
      </c>
      <c r="H573" s="307"/>
      <c r="I573" s="307"/>
      <c r="J573" s="307">
        <f>G573-H573</f>
        <v>0</v>
      </c>
    </row>
    <row r="574" spans="1:12" s="72" customFormat="1" ht="12.75">
      <c r="A574" s="71" t="s">
        <v>29</v>
      </c>
      <c r="B574" s="320" t="s">
        <v>102</v>
      </c>
      <c r="C574" s="320" t="s">
        <v>430</v>
      </c>
      <c r="D574" s="320" t="s">
        <v>146</v>
      </c>
      <c r="E574" s="320" t="s">
        <v>453</v>
      </c>
      <c r="F574" s="320" t="s">
        <v>134</v>
      </c>
      <c r="G574" s="64">
        <f>1440000-1440000</f>
        <v>0</v>
      </c>
      <c r="H574" s="307"/>
      <c r="I574" s="307"/>
      <c r="J574" s="133"/>
      <c r="K574" s="56"/>
      <c r="L574" s="56"/>
    </row>
    <row r="575" spans="1:12" s="129" customFormat="1" ht="12.75">
      <c r="A575" s="111" t="s">
        <v>246</v>
      </c>
      <c r="B575" s="376" t="s">
        <v>102</v>
      </c>
      <c r="C575" s="320" t="s">
        <v>430</v>
      </c>
      <c r="D575" s="376" t="s">
        <v>146</v>
      </c>
      <c r="E575" s="376" t="s">
        <v>39</v>
      </c>
      <c r="F575" s="376"/>
      <c r="G575" s="283">
        <f>G576</f>
        <v>25616</v>
      </c>
      <c r="H575" s="378">
        <f>H576</f>
        <v>25615.8</v>
      </c>
      <c r="I575" s="378">
        <f>I576</f>
        <v>25615.8</v>
      </c>
      <c r="J575" s="378">
        <f>J576</f>
        <v>0.2000000000007276</v>
      </c>
      <c r="K575" s="128"/>
      <c r="L575" s="128"/>
    </row>
    <row r="576" spans="1:12" s="72" customFormat="1" ht="12.75">
      <c r="A576" s="71" t="s">
        <v>138</v>
      </c>
      <c r="B576" s="320" t="s">
        <v>102</v>
      </c>
      <c r="C576" s="320" t="s">
        <v>430</v>
      </c>
      <c r="D576" s="320" t="s">
        <v>146</v>
      </c>
      <c r="E576" s="320" t="s">
        <v>39</v>
      </c>
      <c r="F576" s="320" t="s">
        <v>131</v>
      </c>
      <c r="G576" s="64">
        <f>40000+1000-15384</f>
        <v>25616</v>
      </c>
      <c r="H576" s="307">
        <f>I576</f>
        <v>25615.8</v>
      </c>
      <c r="I576" s="307">
        <f>25615.8</f>
        <v>25615.8</v>
      </c>
      <c r="J576" s="64">
        <f>G576-H576</f>
        <v>0.2000000000007276</v>
      </c>
      <c r="K576" s="56"/>
      <c r="L576" s="56"/>
    </row>
    <row r="577" spans="1:12" s="72" customFormat="1" ht="12.75">
      <c r="A577" s="109" t="s">
        <v>309</v>
      </c>
      <c r="B577" s="376" t="s">
        <v>102</v>
      </c>
      <c r="C577" s="320" t="s">
        <v>430</v>
      </c>
      <c r="D577" s="376" t="s">
        <v>146</v>
      </c>
      <c r="E577" s="376" t="s">
        <v>42</v>
      </c>
      <c r="F577" s="320"/>
      <c r="G577" s="64">
        <f>G578+G579</f>
        <v>410384</v>
      </c>
      <c r="H577" s="307">
        <f>H578+H579</f>
        <v>283085.76</v>
      </c>
      <c r="I577" s="307">
        <f>I578+I579</f>
        <v>283085.76</v>
      </c>
      <c r="J577" s="307">
        <f>J578+J579</f>
        <v>127298.23999999999</v>
      </c>
      <c r="K577" s="56"/>
      <c r="L577" s="56"/>
    </row>
    <row r="578" spans="1:12" s="72" customFormat="1" ht="12.75">
      <c r="A578" s="21" t="s">
        <v>182</v>
      </c>
      <c r="B578" s="320" t="s">
        <v>102</v>
      </c>
      <c r="C578" s="320" t="s">
        <v>430</v>
      </c>
      <c r="D578" s="320" t="s">
        <v>146</v>
      </c>
      <c r="E578" s="320" t="s">
        <v>497</v>
      </c>
      <c r="F578" s="320" t="s">
        <v>133</v>
      </c>
      <c r="G578" s="64">
        <v>60000</v>
      </c>
      <c r="H578" s="307">
        <f>22079.16</f>
        <v>22079.16</v>
      </c>
      <c r="I578" s="307">
        <f>22079.16</f>
        <v>22079.16</v>
      </c>
      <c r="J578" s="64">
        <f>G578-H578</f>
        <v>37920.84</v>
      </c>
      <c r="K578" s="56"/>
      <c r="L578" s="56"/>
    </row>
    <row r="579" spans="1:12" s="72" customFormat="1" ht="12.75">
      <c r="A579" s="71" t="s">
        <v>194</v>
      </c>
      <c r="B579" s="320" t="s">
        <v>102</v>
      </c>
      <c r="C579" s="320" t="s">
        <v>430</v>
      </c>
      <c r="D579" s="320" t="s">
        <v>146</v>
      </c>
      <c r="E579" s="320" t="s">
        <v>498</v>
      </c>
      <c r="F579" s="320" t="s">
        <v>130</v>
      </c>
      <c r="G579" s="64">
        <f>435000-84616</f>
        <v>350384</v>
      </c>
      <c r="H579" s="307">
        <f>117822.05+112240.76+19743.79+11200</f>
        <v>261006.6</v>
      </c>
      <c r="I579" s="307">
        <f>117822.05+112240.76+11200+19743.79</f>
        <v>261006.6</v>
      </c>
      <c r="J579" s="64">
        <f>G579-H579</f>
        <v>89377.4</v>
      </c>
      <c r="K579" s="56"/>
      <c r="L579" s="56"/>
    </row>
    <row r="580" spans="1:12" s="72" customFormat="1" ht="25.5">
      <c r="A580" s="112" t="s">
        <v>234</v>
      </c>
      <c r="B580" s="323" t="s">
        <v>102</v>
      </c>
      <c r="C580" s="323" t="s">
        <v>430</v>
      </c>
      <c r="D580" s="323" t="s">
        <v>37</v>
      </c>
      <c r="E580" s="323"/>
      <c r="F580" s="323"/>
      <c r="G580" s="319">
        <f>G581</f>
        <v>850000</v>
      </c>
      <c r="H580" s="319">
        <f aca="true" t="shared" si="32" ref="H580:J582">H581</f>
        <v>700100</v>
      </c>
      <c r="I580" s="319">
        <f t="shared" si="32"/>
        <v>925100</v>
      </c>
      <c r="J580" s="319">
        <f t="shared" si="32"/>
        <v>149900</v>
      </c>
      <c r="K580" s="56"/>
      <c r="L580" s="56"/>
    </row>
    <row r="581" spans="1:12" s="72" customFormat="1" ht="25.5">
      <c r="A581" s="112" t="s">
        <v>314</v>
      </c>
      <c r="B581" s="323" t="s">
        <v>102</v>
      </c>
      <c r="C581" s="323" t="s">
        <v>430</v>
      </c>
      <c r="D581" s="323" t="s">
        <v>208</v>
      </c>
      <c r="E581" s="320"/>
      <c r="F581" s="320"/>
      <c r="G581" s="307">
        <f>G582</f>
        <v>850000</v>
      </c>
      <c r="H581" s="307">
        <f t="shared" si="32"/>
        <v>700100</v>
      </c>
      <c r="I581" s="307">
        <f t="shared" si="32"/>
        <v>925100</v>
      </c>
      <c r="J581" s="307">
        <f t="shared" si="32"/>
        <v>149900</v>
      </c>
      <c r="K581" s="56"/>
      <c r="L581" s="56"/>
    </row>
    <row r="582" spans="1:12" s="72" customFormat="1" ht="12.75">
      <c r="A582" s="71" t="s">
        <v>35</v>
      </c>
      <c r="B582" s="320" t="s">
        <v>102</v>
      </c>
      <c r="C582" s="320" t="s">
        <v>430</v>
      </c>
      <c r="D582" s="320" t="s">
        <v>208</v>
      </c>
      <c r="E582" s="320" t="s">
        <v>453</v>
      </c>
      <c r="F582" s="320"/>
      <c r="G582" s="307">
        <f>G583</f>
        <v>850000</v>
      </c>
      <c r="H582" s="307">
        <f t="shared" si="32"/>
        <v>700100</v>
      </c>
      <c r="I582" s="307">
        <f t="shared" si="32"/>
        <v>925100</v>
      </c>
      <c r="J582" s="307">
        <f t="shared" si="32"/>
        <v>149900</v>
      </c>
      <c r="K582" s="56"/>
      <c r="L582" s="56"/>
    </row>
    <row r="583" spans="1:12" s="72" customFormat="1" ht="12.75">
      <c r="A583" s="71" t="s">
        <v>315</v>
      </c>
      <c r="B583" s="320" t="s">
        <v>102</v>
      </c>
      <c r="C583" s="320" t="s">
        <v>430</v>
      </c>
      <c r="D583" s="320" t="s">
        <v>208</v>
      </c>
      <c r="E583" s="320" t="s">
        <v>453</v>
      </c>
      <c r="F583" s="320" t="s">
        <v>134</v>
      </c>
      <c r="G583" s="64">
        <v>850000</v>
      </c>
      <c r="H583" s="307">
        <v>700100</v>
      </c>
      <c r="I583" s="307">
        <f>H583+225000</f>
        <v>925100</v>
      </c>
      <c r="J583" s="59">
        <f>G583-H583</f>
        <v>149900</v>
      </c>
      <c r="K583" s="179"/>
      <c r="L583" s="56"/>
    </row>
    <row r="584" spans="1:12" s="72" customFormat="1" ht="25.5">
      <c r="A584" s="71" t="s">
        <v>431</v>
      </c>
      <c r="B584" s="320" t="s">
        <v>102</v>
      </c>
      <c r="C584" s="252" t="s">
        <v>430</v>
      </c>
      <c r="D584" s="320" t="s">
        <v>146</v>
      </c>
      <c r="E584" s="320" t="s">
        <v>30</v>
      </c>
      <c r="F584" s="320" t="s">
        <v>128</v>
      </c>
      <c r="G584" s="307" t="s">
        <v>362</v>
      </c>
      <c r="H584" s="307"/>
      <c r="I584" s="307"/>
      <c r="J584" s="133"/>
      <c r="K584" s="56"/>
      <c r="L584" s="56"/>
    </row>
    <row r="585" spans="1:12" s="72" customFormat="1" ht="12.75">
      <c r="A585" s="71"/>
      <c r="B585" s="320" t="s">
        <v>102</v>
      </c>
      <c r="C585" s="252" t="s">
        <v>430</v>
      </c>
      <c r="D585" s="320" t="s">
        <v>146</v>
      </c>
      <c r="E585" s="320" t="s">
        <v>453</v>
      </c>
      <c r="F585" s="320" t="s">
        <v>134</v>
      </c>
      <c r="G585" s="307">
        <v>0</v>
      </c>
      <c r="H585" s="307"/>
      <c r="I585" s="307"/>
      <c r="J585" s="133"/>
      <c r="K585" s="56"/>
      <c r="L585" s="56"/>
    </row>
    <row r="586" spans="1:12" s="72" customFormat="1" ht="12.75">
      <c r="A586" s="71"/>
      <c r="B586" s="320" t="s">
        <v>102</v>
      </c>
      <c r="C586" s="252" t="s">
        <v>430</v>
      </c>
      <c r="D586" s="320" t="s">
        <v>146</v>
      </c>
      <c r="E586" s="320" t="s">
        <v>497</v>
      </c>
      <c r="F586" s="320" t="s">
        <v>133</v>
      </c>
      <c r="G586" s="307">
        <v>0</v>
      </c>
      <c r="H586" s="307"/>
      <c r="I586" s="307"/>
      <c r="J586" s="133"/>
      <c r="K586" s="56"/>
      <c r="L586" s="56"/>
    </row>
    <row r="587" spans="1:12" s="72" customFormat="1" ht="12.75">
      <c r="A587" s="45" t="s">
        <v>199</v>
      </c>
      <c r="B587" s="247" t="s">
        <v>91</v>
      </c>
      <c r="C587" s="247"/>
      <c r="D587" s="247"/>
      <c r="E587" s="248"/>
      <c r="F587" s="248"/>
      <c r="G587" s="52">
        <f>G592+G589+G623</f>
        <v>7373050.85</v>
      </c>
      <c r="H587" s="52">
        <f>H592+H589+H623</f>
        <v>6008109.16</v>
      </c>
      <c r="I587" s="52">
        <f>I592+I589+I623</f>
        <v>6442298.76</v>
      </c>
      <c r="J587" s="52">
        <f>J592+J589+J623</f>
        <v>1364941.69</v>
      </c>
      <c r="L587" s="84"/>
    </row>
    <row r="588" spans="1:10" s="5" customFormat="1" ht="12.75">
      <c r="A588" s="114" t="s">
        <v>172</v>
      </c>
      <c r="B588" s="320"/>
      <c r="C588" s="320"/>
      <c r="D588" s="320"/>
      <c r="E588" s="320"/>
      <c r="F588" s="320"/>
      <c r="G588" s="272"/>
      <c r="H588" s="272"/>
      <c r="I588" s="272"/>
      <c r="J588" s="317"/>
    </row>
    <row r="589" spans="1:10" s="5" customFormat="1" ht="25.5">
      <c r="A589" s="108" t="s">
        <v>486</v>
      </c>
      <c r="B589" s="320"/>
      <c r="C589" s="320"/>
      <c r="D589" s="320"/>
      <c r="E589" s="320"/>
      <c r="F589" s="320"/>
      <c r="G589" s="313">
        <f>G590</f>
        <v>90000</v>
      </c>
      <c r="H589" s="313">
        <f>H590</f>
        <v>90000</v>
      </c>
      <c r="I589" s="313">
        <f>I590</f>
        <v>90000</v>
      </c>
      <c r="J589" s="313">
        <f>J590</f>
        <v>0</v>
      </c>
    </row>
    <row r="590" spans="1:10" s="5" customFormat="1" ht="25.5">
      <c r="A590" s="71" t="s">
        <v>398</v>
      </c>
      <c r="B590" s="256" t="s">
        <v>92</v>
      </c>
      <c r="C590" s="256" t="s">
        <v>434</v>
      </c>
      <c r="D590" s="320" t="s">
        <v>150</v>
      </c>
      <c r="E590" s="320" t="s">
        <v>98</v>
      </c>
      <c r="F590" s="320"/>
      <c r="G590" s="64">
        <v>90000</v>
      </c>
      <c r="H590" s="272">
        <v>90000</v>
      </c>
      <c r="I590" s="272">
        <v>90000</v>
      </c>
      <c r="J590" s="272">
        <f>G590-H590</f>
        <v>0</v>
      </c>
    </row>
    <row r="591" spans="1:10" s="5" customFormat="1" ht="12.75">
      <c r="A591" s="57" t="s">
        <v>172</v>
      </c>
      <c r="B591" s="320"/>
      <c r="C591" s="320"/>
      <c r="D591" s="320"/>
      <c r="E591" s="320"/>
      <c r="F591" s="320"/>
      <c r="G591" s="272"/>
      <c r="H591" s="272"/>
      <c r="I591" s="272"/>
      <c r="J591" s="317"/>
    </row>
    <row r="592" spans="1:12" s="5" customFormat="1" ht="25.5">
      <c r="A592" s="108" t="s">
        <v>486</v>
      </c>
      <c r="B592" s="379" t="s">
        <v>457</v>
      </c>
      <c r="C592" s="379" t="s">
        <v>432</v>
      </c>
      <c r="D592" s="379"/>
      <c r="E592" s="379"/>
      <c r="F592" s="379"/>
      <c r="G592" s="106">
        <f>G593+G597+G619</f>
        <v>7283050.85</v>
      </c>
      <c r="H592" s="106">
        <f>H593+H597+H619</f>
        <v>5918109.16</v>
      </c>
      <c r="I592" s="106">
        <f>I593+I597+I619</f>
        <v>6352298.76</v>
      </c>
      <c r="J592" s="106">
        <f>J593+J597+J619</f>
        <v>1364941.69</v>
      </c>
      <c r="K592" s="86"/>
      <c r="L592" s="4"/>
    </row>
    <row r="593" spans="1:36" s="67" customFormat="1" ht="25.5">
      <c r="A593" s="104" t="s">
        <v>320</v>
      </c>
      <c r="B593" s="323" t="s">
        <v>457</v>
      </c>
      <c r="C593" s="279" t="s">
        <v>433</v>
      </c>
      <c r="D593" s="323" t="s">
        <v>233</v>
      </c>
      <c r="E593" s="323"/>
      <c r="F593" s="323"/>
      <c r="G593" s="319">
        <f>G594</f>
        <v>383965</v>
      </c>
      <c r="H593" s="319">
        <f aca="true" t="shared" si="33" ref="H593:J595">H594</f>
        <v>383965</v>
      </c>
      <c r="I593" s="319">
        <f t="shared" si="33"/>
        <v>379520</v>
      </c>
      <c r="J593" s="319">
        <f t="shared" si="33"/>
        <v>0</v>
      </c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</row>
    <row r="594" spans="1:36" s="67" customFormat="1" ht="25.5">
      <c r="A594" s="104" t="s">
        <v>226</v>
      </c>
      <c r="B594" s="323" t="s">
        <v>457</v>
      </c>
      <c r="C594" s="279" t="s">
        <v>434</v>
      </c>
      <c r="D594" s="323" t="s">
        <v>44</v>
      </c>
      <c r="E594" s="323"/>
      <c r="F594" s="323"/>
      <c r="G594" s="319">
        <f>G595</f>
        <v>383965</v>
      </c>
      <c r="H594" s="319">
        <f t="shared" si="33"/>
        <v>383965</v>
      </c>
      <c r="I594" s="319">
        <f t="shared" si="33"/>
        <v>379520</v>
      </c>
      <c r="J594" s="319">
        <f t="shared" si="33"/>
        <v>0</v>
      </c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</row>
    <row r="595" spans="1:36" s="67" customFormat="1" ht="12.75">
      <c r="A595" s="105" t="s">
        <v>35</v>
      </c>
      <c r="B595" s="320" t="s">
        <v>457</v>
      </c>
      <c r="C595" s="256" t="s">
        <v>434</v>
      </c>
      <c r="D595" s="320" t="s">
        <v>44</v>
      </c>
      <c r="E595" s="320" t="s">
        <v>30</v>
      </c>
      <c r="F595" s="320"/>
      <c r="G595" s="307">
        <f>G596</f>
        <v>383965</v>
      </c>
      <c r="H595" s="307">
        <f t="shared" si="33"/>
        <v>383965</v>
      </c>
      <c r="I595" s="307">
        <f t="shared" si="33"/>
        <v>379520</v>
      </c>
      <c r="J595" s="307">
        <f t="shared" si="33"/>
        <v>0</v>
      </c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</row>
    <row r="596" spans="1:36" s="67" customFormat="1" ht="25.5">
      <c r="A596" s="78" t="s">
        <v>321</v>
      </c>
      <c r="B596" s="320" t="s">
        <v>457</v>
      </c>
      <c r="C596" s="256" t="s">
        <v>434</v>
      </c>
      <c r="D596" s="320" t="s">
        <v>44</v>
      </c>
      <c r="E596" s="320" t="s">
        <v>30</v>
      </c>
      <c r="F596" s="320" t="s">
        <v>134</v>
      </c>
      <c r="G596" s="64">
        <f>470000-90480+4445</f>
        <v>383965</v>
      </c>
      <c r="H596" s="307">
        <f>379520+4445</f>
        <v>383965</v>
      </c>
      <c r="I596" s="307">
        <f>379520</f>
        <v>379520</v>
      </c>
      <c r="J596" s="307">
        <f>G596-H596</f>
        <v>0</v>
      </c>
      <c r="K596" s="143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</row>
    <row r="597" spans="1:12" s="72" customFormat="1" ht="25.5">
      <c r="A597" s="104" t="s">
        <v>237</v>
      </c>
      <c r="B597" s="279" t="s">
        <v>457</v>
      </c>
      <c r="C597" s="279" t="s">
        <v>434</v>
      </c>
      <c r="D597" s="323" t="s">
        <v>219</v>
      </c>
      <c r="E597" s="320"/>
      <c r="F597" s="320"/>
      <c r="G597" s="319">
        <f>G602+G598+G601</f>
        <v>6494085.85</v>
      </c>
      <c r="H597" s="319">
        <f>H602+H598+H601</f>
        <v>5129144.16</v>
      </c>
      <c r="I597" s="319">
        <f>I602+I598+I601</f>
        <v>5592778.76</v>
      </c>
      <c r="J597" s="319">
        <f>J602+J598+J601</f>
        <v>1364941.69</v>
      </c>
      <c r="L597" s="84"/>
    </row>
    <row r="598" spans="1:12" s="72" customFormat="1" ht="38.25">
      <c r="A598" s="25" t="s">
        <v>225</v>
      </c>
      <c r="B598" s="251" t="s">
        <v>457</v>
      </c>
      <c r="C598" s="279" t="s">
        <v>434</v>
      </c>
      <c r="D598" s="251" t="s">
        <v>62</v>
      </c>
      <c r="E598" s="320"/>
      <c r="F598" s="320"/>
      <c r="G598" s="319">
        <f>G599</f>
        <v>0</v>
      </c>
      <c r="H598" s="319">
        <f aca="true" t="shared" si="34" ref="H598:J599">H599</f>
        <v>0</v>
      </c>
      <c r="I598" s="319">
        <f t="shared" si="34"/>
        <v>0</v>
      </c>
      <c r="J598" s="319">
        <f t="shared" si="34"/>
        <v>0</v>
      </c>
      <c r="L598" s="84"/>
    </row>
    <row r="599" spans="1:12" s="72" customFormat="1" ht="12.75">
      <c r="A599" s="116" t="s">
        <v>35</v>
      </c>
      <c r="B599" s="304" t="s">
        <v>457</v>
      </c>
      <c r="C599" s="256" t="s">
        <v>434</v>
      </c>
      <c r="D599" s="380" t="s">
        <v>62</v>
      </c>
      <c r="E599" s="380" t="s">
        <v>453</v>
      </c>
      <c r="F599" s="320"/>
      <c r="G599" s="319">
        <f>G600</f>
        <v>0</v>
      </c>
      <c r="H599" s="319">
        <f t="shared" si="34"/>
        <v>0</v>
      </c>
      <c r="I599" s="319">
        <f t="shared" si="34"/>
        <v>0</v>
      </c>
      <c r="J599" s="319">
        <f t="shared" si="34"/>
        <v>0</v>
      </c>
      <c r="K599" s="153"/>
      <c r="L599" s="84"/>
    </row>
    <row r="600" spans="1:12" s="72" customFormat="1" ht="12.75">
      <c r="A600" s="78" t="s">
        <v>363</v>
      </c>
      <c r="B600" s="381" t="s">
        <v>457</v>
      </c>
      <c r="C600" s="256" t="s">
        <v>434</v>
      </c>
      <c r="D600" s="381" t="s">
        <v>62</v>
      </c>
      <c r="E600" s="381" t="s">
        <v>453</v>
      </c>
      <c r="F600" s="320" t="s">
        <v>130</v>
      </c>
      <c r="G600" s="307">
        <v>0</v>
      </c>
      <c r="H600" s="307"/>
      <c r="I600" s="307"/>
      <c r="J600" s="382"/>
      <c r="L600" s="84"/>
    </row>
    <row r="601" spans="1:12" s="72" customFormat="1" ht="12.75">
      <c r="A601" s="78" t="s">
        <v>182</v>
      </c>
      <c r="B601" s="381" t="s">
        <v>457</v>
      </c>
      <c r="C601" s="256" t="s">
        <v>434</v>
      </c>
      <c r="D601" s="381" t="s">
        <v>62</v>
      </c>
      <c r="E601" s="381" t="s">
        <v>42</v>
      </c>
      <c r="F601" s="320" t="s">
        <v>133</v>
      </c>
      <c r="G601" s="307"/>
      <c r="H601" s="307"/>
      <c r="I601" s="307"/>
      <c r="J601" s="307">
        <f>G601-H601</f>
        <v>0</v>
      </c>
      <c r="L601" s="84"/>
    </row>
    <row r="602" spans="1:10" s="72" customFormat="1" ht="25.5">
      <c r="A602" s="104" t="s">
        <v>226</v>
      </c>
      <c r="B602" s="279" t="s">
        <v>457</v>
      </c>
      <c r="C602" s="256" t="s">
        <v>434</v>
      </c>
      <c r="D602" s="323" t="s">
        <v>146</v>
      </c>
      <c r="E602" s="320"/>
      <c r="F602" s="320"/>
      <c r="G602" s="319">
        <f>G603+G605+G609+G614+G613+G612+G606</f>
        <v>6494085.85</v>
      </c>
      <c r="H602" s="319">
        <f>H603+H605+H609+H614+H613+H612+H606</f>
        <v>5129144.16</v>
      </c>
      <c r="I602" s="319">
        <f>I603+I605+I609+I614+I613+I612+I606</f>
        <v>5592778.76</v>
      </c>
      <c r="J602" s="319">
        <f>J603+J605+J609+J614+J613+J612+J606+J607</f>
        <v>1364941.69</v>
      </c>
    </row>
    <row r="603" spans="1:10" s="72" customFormat="1" ht="12.75">
      <c r="A603" s="115" t="s">
        <v>20</v>
      </c>
      <c r="B603" s="303" t="s">
        <v>457</v>
      </c>
      <c r="C603" s="256" t="s">
        <v>434</v>
      </c>
      <c r="D603" s="380" t="s">
        <v>146</v>
      </c>
      <c r="E603" s="380" t="s">
        <v>21</v>
      </c>
      <c r="F603" s="320"/>
      <c r="G603" s="307">
        <f>G604</f>
        <v>0</v>
      </c>
      <c r="H603" s="307">
        <f>H604</f>
        <v>0</v>
      </c>
      <c r="I603" s="307">
        <f>I604</f>
        <v>0</v>
      </c>
      <c r="J603" s="307">
        <f>J604</f>
        <v>0</v>
      </c>
    </row>
    <row r="604" spans="1:10" s="72" customFormat="1" ht="12.75">
      <c r="A604" s="78" t="s">
        <v>316</v>
      </c>
      <c r="B604" s="256" t="s">
        <v>457</v>
      </c>
      <c r="C604" s="256" t="s">
        <v>434</v>
      </c>
      <c r="D604" s="320" t="s">
        <v>146</v>
      </c>
      <c r="E604" s="320" t="s">
        <v>21</v>
      </c>
      <c r="F604" s="320" t="s">
        <v>117</v>
      </c>
      <c r="G604" s="64">
        <f>500000-500000</f>
        <v>0</v>
      </c>
      <c r="H604" s="307"/>
      <c r="I604" s="307"/>
      <c r="J604" s="319">
        <f>G604-H604</f>
        <v>0</v>
      </c>
    </row>
    <row r="605" spans="1:11" s="72" customFormat="1" ht="12.75">
      <c r="A605" s="115" t="s">
        <v>29</v>
      </c>
      <c r="B605" s="256" t="s">
        <v>457</v>
      </c>
      <c r="C605" s="256" t="s">
        <v>434</v>
      </c>
      <c r="D605" s="380" t="s">
        <v>146</v>
      </c>
      <c r="E605" s="380" t="s">
        <v>30</v>
      </c>
      <c r="F605" s="320"/>
      <c r="G605" s="307">
        <f>G608+G607</f>
        <v>637797.74</v>
      </c>
      <c r="H605" s="307">
        <f>H608</f>
        <v>593715.5</v>
      </c>
      <c r="I605" s="307">
        <f>I608</f>
        <v>593715.5</v>
      </c>
      <c r="J605" s="307">
        <f>J608</f>
        <v>34966.5</v>
      </c>
      <c r="K605" s="14"/>
    </row>
    <row r="606" spans="1:11" s="72" customFormat="1" ht="12.75">
      <c r="A606" s="115"/>
      <c r="B606" s="256" t="s">
        <v>457</v>
      </c>
      <c r="C606" s="256" t="s">
        <v>434</v>
      </c>
      <c r="D606" s="380" t="s">
        <v>62</v>
      </c>
      <c r="E606" s="380" t="s">
        <v>30</v>
      </c>
      <c r="F606" s="320" t="s">
        <v>402</v>
      </c>
      <c r="G606" s="307">
        <f>504884.26-504884</f>
        <v>0.2600000000093132</v>
      </c>
      <c r="H606" s="307">
        <v>0</v>
      </c>
      <c r="I606" s="307"/>
      <c r="J606" s="307">
        <f aca="true" t="shared" si="35" ref="J606:J613">G606-H606</f>
        <v>0.2600000000093132</v>
      </c>
      <c r="K606" s="56"/>
    </row>
    <row r="607" spans="1:10" s="72" customFormat="1" ht="12.75">
      <c r="A607" s="115"/>
      <c r="B607" s="256" t="s">
        <v>457</v>
      </c>
      <c r="C607" s="256" t="s">
        <v>434</v>
      </c>
      <c r="D607" s="320" t="s">
        <v>62</v>
      </c>
      <c r="E607" s="320" t="s">
        <v>30</v>
      </c>
      <c r="F607" s="320" t="s">
        <v>128</v>
      </c>
      <c r="G607" s="307">
        <f>514000-504884.26</f>
        <v>9115.73999999999</v>
      </c>
      <c r="H607" s="307">
        <v>0</v>
      </c>
      <c r="I607" s="307"/>
      <c r="J607" s="307">
        <f t="shared" si="35"/>
        <v>9115.73999999999</v>
      </c>
    </row>
    <row r="608" spans="1:13" s="72" customFormat="1" ht="25.5">
      <c r="A608" s="78" t="s">
        <v>317</v>
      </c>
      <c r="B608" s="256" t="s">
        <v>457</v>
      </c>
      <c r="C608" s="256" t="s">
        <v>434</v>
      </c>
      <c r="D608" s="320" t="s">
        <v>146</v>
      </c>
      <c r="E608" s="320" t="s">
        <v>30</v>
      </c>
      <c r="F608" s="320" t="s">
        <v>128</v>
      </c>
      <c r="G608" s="64">
        <f>1525000+462098+50700+2500000-3214000-345116-350000</f>
        <v>628682</v>
      </c>
      <c r="H608" s="307">
        <f>82500+511215.5</f>
        <v>593715.5</v>
      </c>
      <c r="I608" s="307">
        <f>82500+511215.5</f>
        <v>593715.5</v>
      </c>
      <c r="J608" s="319">
        <f t="shared" si="35"/>
        <v>34966.5</v>
      </c>
      <c r="K608" s="215"/>
      <c r="L608" s="216"/>
      <c r="M608" s="216"/>
    </row>
    <row r="609" spans="1:12" s="72" customFormat="1" ht="12.75">
      <c r="A609" s="116" t="s">
        <v>35</v>
      </c>
      <c r="B609" s="256" t="s">
        <v>457</v>
      </c>
      <c r="C609" s="256" t="s">
        <v>434</v>
      </c>
      <c r="D609" s="380" t="s">
        <v>146</v>
      </c>
      <c r="E609" s="380" t="s">
        <v>453</v>
      </c>
      <c r="F609" s="252"/>
      <c r="G609" s="64">
        <f>G610+G611</f>
        <v>0</v>
      </c>
      <c r="H609" s="64">
        <f>H610+H611</f>
        <v>0</v>
      </c>
      <c r="I609" s="64">
        <f>I610+I611</f>
        <v>0</v>
      </c>
      <c r="J609" s="319">
        <f t="shared" si="35"/>
        <v>0</v>
      </c>
      <c r="L609" s="84"/>
    </row>
    <row r="610" spans="1:14" s="14" customFormat="1" ht="12.75">
      <c r="A610" s="78" t="s">
        <v>318</v>
      </c>
      <c r="B610" s="256" t="s">
        <v>457</v>
      </c>
      <c r="C610" s="256" t="s">
        <v>434</v>
      </c>
      <c r="D610" s="381" t="s">
        <v>146</v>
      </c>
      <c r="E610" s="381" t="s">
        <v>453</v>
      </c>
      <c r="F610" s="320" t="s">
        <v>130</v>
      </c>
      <c r="G610" s="64">
        <v>0</v>
      </c>
      <c r="H610" s="307"/>
      <c r="I610" s="307"/>
      <c r="J610" s="319">
        <f t="shared" si="35"/>
        <v>0</v>
      </c>
      <c r="K610" s="140"/>
      <c r="L610" s="140"/>
      <c r="M610" s="81"/>
      <c r="N610" s="56"/>
    </row>
    <row r="611" spans="1:23" s="80" customFormat="1" ht="25.5">
      <c r="A611" s="78" t="s">
        <v>319</v>
      </c>
      <c r="B611" s="256" t="s">
        <v>457</v>
      </c>
      <c r="C611" s="256" t="s">
        <v>434</v>
      </c>
      <c r="D611" s="381" t="s">
        <v>146</v>
      </c>
      <c r="E611" s="381" t="s">
        <v>453</v>
      </c>
      <c r="F611" s="320" t="s">
        <v>134</v>
      </c>
      <c r="G611" s="64">
        <v>0</v>
      </c>
      <c r="H611" s="307"/>
      <c r="I611" s="307"/>
      <c r="J611" s="319">
        <f t="shared" si="35"/>
        <v>0</v>
      </c>
      <c r="K611" s="72"/>
      <c r="L611" s="72"/>
      <c r="M611" s="72"/>
      <c r="N611" s="72"/>
      <c r="O611" s="14"/>
      <c r="P611" s="14"/>
      <c r="Q611" s="14"/>
      <c r="R611" s="14"/>
      <c r="S611" s="14"/>
      <c r="T611" s="14"/>
      <c r="U611" s="14"/>
      <c r="V611" s="14"/>
      <c r="W611" s="14"/>
    </row>
    <row r="612" spans="1:23" s="80" customFormat="1" ht="12.75">
      <c r="A612" s="78"/>
      <c r="B612" s="256" t="s">
        <v>457</v>
      </c>
      <c r="C612" s="256" t="s">
        <v>434</v>
      </c>
      <c r="D612" s="252" t="s">
        <v>62</v>
      </c>
      <c r="E612" s="252" t="s">
        <v>39</v>
      </c>
      <c r="F612" s="256" t="s">
        <v>131</v>
      </c>
      <c r="G612" s="64">
        <v>2652115.74</v>
      </c>
      <c r="H612" s="307">
        <v>1886063.82</v>
      </c>
      <c r="I612" s="307">
        <v>1886063.82</v>
      </c>
      <c r="J612" s="319">
        <f t="shared" si="35"/>
        <v>766051.9200000002</v>
      </c>
      <c r="K612" s="56"/>
      <c r="L612" s="56"/>
      <c r="M612" s="56"/>
      <c r="N612" s="56"/>
      <c r="O612" s="14"/>
      <c r="P612" s="14"/>
      <c r="Q612" s="14"/>
      <c r="R612" s="14"/>
      <c r="S612" s="14"/>
      <c r="T612" s="14"/>
      <c r="U612" s="14"/>
      <c r="V612" s="14"/>
      <c r="W612" s="14"/>
    </row>
    <row r="613" spans="1:23" s="80" customFormat="1" ht="12.75">
      <c r="A613" s="78" t="s">
        <v>138</v>
      </c>
      <c r="B613" s="256" t="s">
        <v>457</v>
      </c>
      <c r="C613" s="256" t="s">
        <v>434</v>
      </c>
      <c r="D613" s="252" t="s">
        <v>146</v>
      </c>
      <c r="E613" s="252" t="s">
        <v>39</v>
      </c>
      <c r="F613" s="256" t="s">
        <v>131</v>
      </c>
      <c r="G613" s="64">
        <f>12000+1400.04+40000+2700000-2652115.74-54445</f>
        <v>46839.299999999814</v>
      </c>
      <c r="H613" s="307">
        <v>8242.28</v>
      </c>
      <c r="I613" s="307">
        <f>8242.28+34782.6</f>
        <v>43024.88</v>
      </c>
      <c r="J613" s="307">
        <f t="shared" si="35"/>
        <v>38597.019999999815</v>
      </c>
      <c r="K613" s="81"/>
      <c r="L613" s="72"/>
      <c r="M613" s="72"/>
      <c r="N613" s="72"/>
      <c r="O613" s="14"/>
      <c r="P613" s="14"/>
      <c r="Q613" s="14"/>
      <c r="R613" s="14"/>
      <c r="S613" s="14"/>
      <c r="T613" s="14"/>
      <c r="U613" s="14"/>
      <c r="V613" s="14"/>
      <c r="W613" s="14"/>
    </row>
    <row r="614" spans="1:23" s="80" customFormat="1" ht="12.75">
      <c r="A614" s="109" t="s">
        <v>309</v>
      </c>
      <c r="B614" s="256" t="s">
        <v>457</v>
      </c>
      <c r="C614" s="256" t="s">
        <v>434</v>
      </c>
      <c r="D614" s="282" t="s">
        <v>146</v>
      </c>
      <c r="E614" s="282" t="s">
        <v>42</v>
      </c>
      <c r="F614" s="296"/>
      <c r="G614" s="64">
        <f>G617+G615+G616+G618</f>
        <v>3157332.81</v>
      </c>
      <c r="H614" s="307">
        <f>H617+H615+H616+H618</f>
        <v>2641122.56</v>
      </c>
      <c r="I614" s="307">
        <f>I617+I615+I616+I618</f>
        <v>3069974.5599999996</v>
      </c>
      <c r="J614" s="307">
        <f>J617+J615+J616+J618</f>
        <v>516210.25000000006</v>
      </c>
      <c r="K614" s="72"/>
      <c r="L614" s="72"/>
      <c r="M614" s="72"/>
      <c r="N614" s="72"/>
      <c r="O614" s="14"/>
      <c r="P614" s="14"/>
      <c r="Q614" s="14"/>
      <c r="R614" s="14"/>
      <c r="S614" s="14"/>
      <c r="T614" s="14"/>
      <c r="U614" s="14"/>
      <c r="V614" s="14"/>
      <c r="W614" s="14"/>
    </row>
    <row r="615" spans="1:23" s="80" customFormat="1" ht="12.75">
      <c r="A615" s="21" t="s">
        <v>182</v>
      </c>
      <c r="B615" s="256" t="s">
        <v>457</v>
      </c>
      <c r="C615" s="256" t="s">
        <v>434</v>
      </c>
      <c r="D615" s="252" t="s">
        <v>146</v>
      </c>
      <c r="E615" s="252" t="s">
        <v>42</v>
      </c>
      <c r="F615" s="256" t="s">
        <v>377</v>
      </c>
      <c r="G615" s="64">
        <v>0</v>
      </c>
      <c r="H615" s="307"/>
      <c r="I615" s="307"/>
      <c r="J615" s="307">
        <f>G615-H615</f>
        <v>0</v>
      </c>
      <c r="K615" s="72"/>
      <c r="L615" s="72"/>
      <c r="M615" s="72"/>
      <c r="N615" s="72"/>
      <c r="O615" s="14"/>
      <c r="P615" s="14"/>
      <c r="Q615" s="14"/>
      <c r="R615" s="14"/>
      <c r="S615" s="14"/>
      <c r="T615" s="14"/>
      <c r="U615" s="14"/>
      <c r="V615" s="14"/>
      <c r="W615" s="14"/>
    </row>
    <row r="616" spans="1:23" s="80" customFormat="1" ht="12.75">
      <c r="A616" s="21" t="s">
        <v>467</v>
      </c>
      <c r="B616" s="256" t="s">
        <v>457</v>
      </c>
      <c r="C616" s="256" t="s">
        <v>434</v>
      </c>
      <c r="D616" s="252" t="s">
        <v>146</v>
      </c>
      <c r="E616" s="252" t="s">
        <v>499</v>
      </c>
      <c r="F616" s="256" t="s">
        <v>165</v>
      </c>
      <c r="G616" s="64"/>
      <c r="H616" s="307"/>
      <c r="I616" s="307"/>
      <c r="J616" s="307">
        <f>G616-H616</f>
        <v>0</v>
      </c>
      <c r="K616" s="72"/>
      <c r="L616" s="72"/>
      <c r="M616" s="72"/>
      <c r="N616" s="72"/>
      <c r="O616" s="14"/>
      <c r="P616" s="14"/>
      <c r="Q616" s="14"/>
      <c r="R616" s="14"/>
      <c r="S616" s="14"/>
      <c r="T616" s="14"/>
      <c r="U616" s="14"/>
      <c r="V616" s="14"/>
      <c r="W616" s="14"/>
    </row>
    <row r="617" spans="1:23" s="80" customFormat="1" ht="12.75">
      <c r="A617" s="21" t="s">
        <v>182</v>
      </c>
      <c r="B617" s="256" t="s">
        <v>457</v>
      </c>
      <c r="C617" s="256" t="s">
        <v>434</v>
      </c>
      <c r="D617" s="252" t="s">
        <v>146</v>
      </c>
      <c r="E617" s="252" t="s">
        <v>497</v>
      </c>
      <c r="F617" s="256" t="s">
        <v>133</v>
      </c>
      <c r="G617" s="64">
        <f>471500+32000+465772.37-32000-127100</f>
        <v>810172.37</v>
      </c>
      <c r="H617" s="307">
        <v>409519.93</v>
      </c>
      <c r="I617" s="307">
        <f>67737.93+25420+313236+239562+34800+43616</f>
        <v>724371.9299999999</v>
      </c>
      <c r="J617" s="307">
        <f>G617-H617</f>
        <v>400652.44</v>
      </c>
      <c r="K617" s="81"/>
      <c r="L617" s="72"/>
      <c r="M617" s="143"/>
      <c r="N617" s="72"/>
      <c r="O617" s="14"/>
      <c r="P617" s="14"/>
      <c r="Q617" s="14"/>
      <c r="R617" s="14"/>
      <c r="S617" s="14"/>
      <c r="T617" s="14"/>
      <c r="U617" s="14"/>
      <c r="V617" s="14"/>
      <c r="W617" s="14"/>
    </row>
    <row r="618" spans="1:23" s="80" customFormat="1" ht="12.75">
      <c r="A618" s="78" t="s">
        <v>318</v>
      </c>
      <c r="B618" s="256" t="s">
        <v>457</v>
      </c>
      <c r="C618" s="256" t="s">
        <v>434</v>
      </c>
      <c r="D618" s="252" t="s">
        <v>146</v>
      </c>
      <c r="E618" s="252" t="s">
        <v>498</v>
      </c>
      <c r="F618" s="256" t="s">
        <v>130</v>
      </c>
      <c r="G618" s="64">
        <f>1826680.48-32000+30599.96+36400-5000+440480+50000</f>
        <v>2347160.44</v>
      </c>
      <c r="H618" s="307">
        <v>2231602.63</v>
      </c>
      <c r="I618" s="307">
        <f>250000+341026.6+34307.99+283125+151980+71732.96+66800+2437.5+31646.18+205620+30000+107540+174346.4+84000+200000+99360+211680</f>
        <v>2345602.63</v>
      </c>
      <c r="J618" s="307">
        <f>G618-H618</f>
        <v>115557.81000000006</v>
      </c>
      <c r="K618" s="155"/>
      <c r="L618" s="143"/>
      <c r="M618" s="72"/>
      <c r="N618" s="72"/>
      <c r="O618" s="14"/>
      <c r="P618" s="14"/>
      <c r="Q618" s="14"/>
      <c r="R618" s="14"/>
      <c r="S618" s="14"/>
      <c r="T618" s="14"/>
      <c r="U618" s="14"/>
      <c r="V618" s="14"/>
      <c r="W618" s="14"/>
    </row>
    <row r="619" spans="1:23" s="80" customFormat="1" ht="25.5">
      <c r="A619" s="112" t="s">
        <v>314</v>
      </c>
      <c r="B619" s="279" t="s">
        <v>457</v>
      </c>
      <c r="C619" s="279" t="s">
        <v>434</v>
      </c>
      <c r="D619" s="323" t="s">
        <v>37</v>
      </c>
      <c r="E619" s="320"/>
      <c r="F619" s="320"/>
      <c r="G619" s="64">
        <f>G621+G620</f>
        <v>405000</v>
      </c>
      <c r="H619" s="307">
        <f>H621+H620</f>
        <v>405000</v>
      </c>
      <c r="I619" s="307">
        <f>I621+I620</f>
        <v>380000</v>
      </c>
      <c r="J619" s="307">
        <f>J621+J620</f>
        <v>0</v>
      </c>
      <c r="K619" s="72"/>
      <c r="L619" s="72"/>
      <c r="M619" s="72"/>
      <c r="N619" s="72"/>
      <c r="O619" s="14"/>
      <c r="P619" s="14"/>
      <c r="Q619" s="14"/>
      <c r="R619" s="14"/>
      <c r="S619" s="14"/>
      <c r="T619" s="14"/>
      <c r="U619" s="14"/>
      <c r="V619" s="14"/>
      <c r="W619" s="14"/>
    </row>
    <row r="620" spans="1:23" s="80" customFormat="1" ht="12.75">
      <c r="A620" s="71" t="s">
        <v>35</v>
      </c>
      <c r="B620" s="256" t="s">
        <v>457</v>
      </c>
      <c r="C620" s="256" t="s">
        <v>434</v>
      </c>
      <c r="D620" s="320" t="s">
        <v>208</v>
      </c>
      <c r="E620" s="320" t="s">
        <v>453</v>
      </c>
      <c r="F620" s="320" t="s">
        <v>134</v>
      </c>
      <c r="G620" s="64">
        <v>0</v>
      </c>
      <c r="H620" s="307"/>
      <c r="I620" s="307"/>
      <c r="J620" s="382"/>
      <c r="K620" s="72"/>
      <c r="L620" s="72"/>
      <c r="M620" s="72"/>
      <c r="N620" s="72"/>
      <c r="O620" s="14"/>
      <c r="P620" s="14"/>
      <c r="Q620" s="14"/>
      <c r="R620" s="14"/>
      <c r="S620" s="14"/>
      <c r="T620" s="14"/>
      <c r="U620" s="14"/>
      <c r="V620" s="14"/>
      <c r="W620" s="14"/>
    </row>
    <row r="621" spans="1:23" s="80" customFormat="1" ht="12.75">
      <c r="A621" s="111" t="s">
        <v>35</v>
      </c>
      <c r="B621" s="256" t="s">
        <v>457</v>
      </c>
      <c r="C621" s="256" t="s">
        <v>434</v>
      </c>
      <c r="D621" s="376" t="s">
        <v>181</v>
      </c>
      <c r="E621" s="376" t="s">
        <v>453</v>
      </c>
      <c r="F621" s="376"/>
      <c r="G621" s="64">
        <f>G622</f>
        <v>405000</v>
      </c>
      <c r="H621" s="307">
        <f>H622</f>
        <v>405000</v>
      </c>
      <c r="I621" s="307">
        <f>I622</f>
        <v>380000</v>
      </c>
      <c r="J621" s="307">
        <f>J622</f>
        <v>0</v>
      </c>
      <c r="K621" s="72"/>
      <c r="L621" s="72"/>
      <c r="M621" s="72"/>
      <c r="N621" s="72"/>
      <c r="O621" s="14"/>
      <c r="P621" s="14"/>
      <c r="Q621" s="14"/>
      <c r="R621" s="14"/>
      <c r="S621" s="14"/>
      <c r="T621" s="14"/>
      <c r="U621" s="14"/>
      <c r="V621" s="14"/>
      <c r="W621" s="14"/>
    </row>
    <row r="622" spans="1:23" s="80" customFormat="1" ht="38.25">
      <c r="A622" s="71" t="s">
        <v>322</v>
      </c>
      <c r="B622" s="256" t="s">
        <v>457</v>
      </c>
      <c r="C622" s="256" t="s">
        <v>434</v>
      </c>
      <c r="D622" s="320" t="s">
        <v>181</v>
      </c>
      <c r="E622" s="320" t="s">
        <v>453</v>
      </c>
      <c r="F622" s="320" t="s">
        <v>134</v>
      </c>
      <c r="G622" s="64">
        <f>400000+5000</f>
        <v>405000</v>
      </c>
      <c r="H622" s="307">
        <f>340000+20000+20000+25000</f>
        <v>405000</v>
      </c>
      <c r="I622" s="307">
        <f>340000+20000+20000</f>
        <v>380000</v>
      </c>
      <c r="J622" s="307">
        <f>G622-H622</f>
        <v>0</v>
      </c>
      <c r="K622" s="107"/>
      <c r="L622" s="72"/>
      <c r="M622" s="72"/>
      <c r="N622" s="72"/>
      <c r="O622" s="14"/>
      <c r="P622" s="14"/>
      <c r="Q622" s="14"/>
      <c r="R622" s="14"/>
      <c r="S622" s="14"/>
      <c r="T622" s="14"/>
      <c r="U622" s="14"/>
      <c r="V622" s="14"/>
      <c r="W622" s="14"/>
    </row>
    <row r="623" spans="1:23" s="80" customFormat="1" ht="12.75">
      <c r="A623" s="112" t="s">
        <v>575</v>
      </c>
      <c r="B623" s="279" t="s">
        <v>457</v>
      </c>
      <c r="C623" s="279" t="s">
        <v>534</v>
      </c>
      <c r="D623" s="323" t="s">
        <v>397</v>
      </c>
      <c r="E623" s="323" t="s">
        <v>535</v>
      </c>
      <c r="F623" s="323"/>
      <c r="G623" s="64"/>
      <c r="H623" s="307"/>
      <c r="I623" s="307"/>
      <c r="J623" s="307">
        <f>G623-H623</f>
        <v>0</v>
      </c>
      <c r="K623" s="107"/>
      <c r="L623" s="72"/>
      <c r="M623" s="72"/>
      <c r="N623" s="72"/>
      <c r="O623" s="14"/>
      <c r="P623" s="14"/>
      <c r="Q623" s="14"/>
      <c r="R623" s="14"/>
      <c r="S623" s="14"/>
      <c r="T623" s="14"/>
      <c r="U623" s="14"/>
      <c r="V623" s="14"/>
      <c r="W623" s="14"/>
    </row>
    <row r="624" spans="1:23" s="80" customFormat="1" ht="12.75">
      <c r="A624" s="178" t="s">
        <v>571</v>
      </c>
      <c r="B624" s="314" t="s">
        <v>550</v>
      </c>
      <c r="C624" s="314"/>
      <c r="D624" s="314"/>
      <c r="E624" s="314"/>
      <c r="F624" s="314"/>
      <c r="G624" s="315">
        <f>G625+G628+G630+G632+G629+G627+G631+G626</f>
        <v>0</v>
      </c>
      <c r="H624" s="315">
        <f>H625+H628+H630+H632+H629+H627+H631+H626</f>
        <v>0</v>
      </c>
      <c r="I624" s="315">
        <f>I625+I628+I630+I632+I629+I627+I631+I626</f>
        <v>0</v>
      </c>
      <c r="J624" s="315">
        <f>J625+J628+J630+J632+J629+J627+J631+J626</f>
        <v>0</v>
      </c>
      <c r="K624" s="72"/>
      <c r="L624" s="72"/>
      <c r="M624" s="72"/>
      <c r="N624" s="72"/>
      <c r="O624" s="14"/>
      <c r="P624" s="14"/>
      <c r="Q624" s="14"/>
      <c r="R624" s="14"/>
      <c r="S624" s="14"/>
      <c r="T624" s="14"/>
      <c r="U624" s="14"/>
      <c r="V624" s="14"/>
      <c r="W624" s="14"/>
    </row>
    <row r="625" spans="1:23" s="80" customFormat="1" ht="12.75">
      <c r="A625" s="71" t="s">
        <v>516</v>
      </c>
      <c r="B625" s="256" t="s">
        <v>550</v>
      </c>
      <c r="C625" s="256" t="s">
        <v>240</v>
      </c>
      <c r="D625" s="320" t="s">
        <v>146</v>
      </c>
      <c r="E625" s="320" t="s">
        <v>21</v>
      </c>
      <c r="F625" s="320" t="s">
        <v>117</v>
      </c>
      <c r="G625" s="307">
        <f>93352-26672-66680</f>
        <v>0</v>
      </c>
      <c r="H625" s="307"/>
      <c r="I625" s="307"/>
      <c r="J625" s="307">
        <f aca="true" t="shared" si="36" ref="J625:J632">G625-H625</f>
        <v>0</v>
      </c>
      <c r="K625" s="72"/>
      <c r="L625" s="72"/>
      <c r="M625" s="72"/>
      <c r="N625" s="72"/>
      <c r="O625" s="14"/>
      <c r="P625" s="14"/>
      <c r="Q625" s="14"/>
      <c r="R625" s="14"/>
      <c r="S625" s="14"/>
      <c r="T625" s="14"/>
      <c r="U625" s="14"/>
      <c r="V625" s="14"/>
      <c r="W625" s="14"/>
    </row>
    <row r="626" spans="1:23" s="80" customFormat="1" ht="25.5">
      <c r="A626" s="112" t="s">
        <v>576</v>
      </c>
      <c r="B626" s="256" t="s">
        <v>550</v>
      </c>
      <c r="C626" s="256" t="s">
        <v>577</v>
      </c>
      <c r="D626" s="320" t="s">
        <v>146</v>
      </c>
      <c r="E626" s="320" t="s">
        <v>578</v>
      </c>
      <c r="F626" s="320" t="s">
        <v>128</v>
      </c>
      <c r="G626" s="307"/>
      <c r="H626" s="307"/>
      <c r="I626" s="307"/>
      <c r="J626" s="307">
        <f t="shared" si="36"/>
        <v>0</v>
      </c>
      <c r="K626" s="143"/>
      <c r="L626" s="143"/>
      <c r="M626" s="143"/>
      <c r="N626" s="143"/>
      <c r="O626" s="140"/>
      <c r="P626" s="14"/>
      <c r="Q626" s="14"/>
      <c r="R626" s="14"/>
      <c r="S626" s="14"/>
      <c r="T626" s="14"/>
      <c r="U626" s="14"/>
      <c r="V626" s="14"/>
      <c r="W626" s="14"/>
    </row>
    <row r="627" spans="1:23" s="80" customFormat="1" ht="12.75">
      <c r="A627" s="71" t="s">
        <v>516</v>
      </c>
      <c r="B627" s="256" t="s">
        <v>550</v>
      </c>
      <c r="C627" s="256" t="s">
        <v>240</v>
      </c>
      <c r="D627" s="320" t="s">
        <v>146</v>
      </c>
      <c r="E627" s="320" t="s">
        <v>557</v>
      </c>
      <c r="F627" s="320" t="s">
        <v>117</v>
      </c>
      <c r="G627" s="307"/>
      <c r="H627" s="307"/>
      <c r="I627" s="307"/>
      <c r="J627" s="307">
        <f t="shared" si="36"/>
        <v>0</v>
      </c>
      <c r="K627" s="81"/>
      <c r="L627" s="72"/>
      <c r="M627" s="72"/>
      <c r="N627" s="72"/>
      <c r="O627" s="14"/>
      <c r="P627" s="14"/>
      <c r="Q627" s="14"/>
      <c r="R627" s="14"/>
      <c r="S627" s="14"/>
      <c r="T627" s="14"/>
      <c r="U627" s="14"/>
      <c r="V627" s="14"/>
      <c r="W627" s="14"/>
    </row>
    <row r="628" spans="1:23" s="80" customFormat="1" ht="12.75">
      <c r="A628" s="71" t="s">
        <v>551</v>
      </c>
      <c r="B628" s="256" t="s">
        <v>550</v>
      </c>
      <c r="C628" s="256" t="s">
        <v>240</v>
      </c>
      <c r="D628" s="320" t="s">
        <v>146</v>
      </c>
      <c r="E628" s="320" t="s">
        <v>30</v>
      </c>
      <c r="F628" s="320" t="s">
        <v>128</v>
      </c>
      <c r="G628" s="307"/>
      <c r="H628" s="307"/>
      <c r="I628" s="307"/>
      <c r="J628" s="307">
        <f t="shared" si="36"/>
        <v>0</v>
      </c>
      <c r="K628" s="72"/>
      <c r="L628" s="72"/>
      <c r="M628" s="72"/>
      <c r="N628" s="72"/>
      <c r="O628" s="14"/>
      <c r="P628" s="14"/>
      <c r="Q628" s="14"/>
      <c r="R628" s="14"/>
      <c r="S628" s="14"/>
      <c r="T628" s="14"/>
      <c r="U628" s="14"/>
      <c r="V628" s="14"/>
      <c r="W628" s="14"/>
    </row>
    <row r="629" spans="1:23" s="80" customFormat="1" ht="12.75">
      <c r="A629" s="71" t="s">
        <v>551</v>
      </c>
      <c r="B629" s="256" t="s">
        <v>550</v>
      </c>
      <c r="C629" s="256" t="s">
        <v>240</v>
      </c>
      <c r="D629" s="320" t="s">
        <v>146</v>
      </c>
      <c r="E629" s="320" t="s">
        <v>556</v>
      </c>
      <c r="F629" s="320" t="s">
        <v>128</v>
      </c>
      <c r="G629" s="307"/>
      <c r="H629" s="307"/>
      <c r="I629" s="307"/>
      <c r="J629" s="307">
        <f t="shared" si="36"/>
        <v>0</v>
      </c>
      <c r="K629" s="72"/>
      <c r="L629" s="72"/>
      <c r="M629" s="72"/>
      <c r="N629" s="72"/>
      <c r="O629" s="14"/>
      <c r="P629" s="14"/>
      <c r="Q629" s="14"/>
      <c r="R629" s="14"/>
      <c r="S629" s="14"/>
      <c r="T629" s="14"/>
      <c r="U629" s="14"/>
      <c r="V629" s="14"/>
      <c r="W629" s="14"/>
    </row>
    <row r="630" spans="1:23" s="80" customFormat="1" ht="12.75">
      <c r="A630" s="71" t="s">
        <v>552</v>
      </c>
      <c r="B630" s="256" t="s">
        <v>550</v>
      </c>
      <c r="C630" s="256" t="s">
        <v>240</v>
      </c>
      <c r="D630" s="320" t="s">
        <v>146</v>
      </c>
      <c r="E630" s="320" t="s">
        <v>499</v>
      </c>
      <c r="F630" s="320" t="s">
        <v>165</v>
      </c>
      <c r="G630" s="307"/>
      <c r="H630" s="307"/>
      <c r="I630" s="307"/>
      <c r="J630" s="307">
        <f t="shared" si="36"/>
        <v>0</v>
      </c>
      <c r="K630" s="143"/>
      <c r="L630" s="143"/>
      <c r="M630" s="72"/>
      <c r="N630" s="72"/>
      <c r="O630" s="14"/>
      <c r="P630" s="14"/>
      <c r="Q630" s="14"/>
      <c r="R630" s="14"/>
      <c r="S630" s="14"/>
      <c r="T630" s="14"/>
      <c r="U630" s="14"/>
      <c r="V630" s="14"/>
      <c r="W630" s="14"/>
    </row>
    <row r="631" spans="1:23" s="80" customFormat="1" ht="12.75">
      <c r="A631" s="71" t="s">
        <v>38</v>
      </c>
      <c r="B631" s="256" t="s">
        <v>550</v>
      </c>
      <c r="C631" s="256" t="s">
        <v>240</v>
      </c>
      <c r="D631" s="320" t="s">
        <v>146</v>
      </c>
      <c r="E631" s="320" t="s">
        <v>566</v>
      </c>
      <c r="F631" s="320" t="s">
        <v>131</v>
      </c>
      <c r="G631" s="307"/>
      <c r="H631" s="307"/>
      <c r="I631" s="307"/>
      <c r="J631" s="307">
        <f>G631-H631</f>
        <v>0</v>
      </c>
      <c r="K631" s="143"/>
      <c r="L631" s="143"/>
      <c r="M631" s="72"/>
      <c r="N631" s="72"/>
      <c r="O631" s="14"/>
      <c r="P631" s="14"/>
      <c r="Q631" s="14"/>
      <c r="R631" s="14"/>
      <c r="S631" s="14"/>
      <c r="T631" s="14"/>
      <c r="U631" s="14"/>
      <c r="V631" s="14"/>
      <c r="W631" s="14"/>
    </row>
    <row r="632" spans="1:23" s="80" customFormat="1" ht="12.75">
      <c r="A632" s="71" t="s">
        <v>309</v>
      </c>
      <c r="B632" s="256" t="s">
        <v>550</v>
      </c>
      <c r="C632" s="256" t="s">
        <v>240</v>
      </c>
      <c r="D632" s="320" t="s">
        <v>146</v>
      </c>
      <c r="E632" s="320" t="s">
        <v>565</v>
      </c>
      <c r="F632" s="320" t="s">
        <v>133</v>
      </c>
      <c r="G632" s="307"/>
      <c r="H632" s="307"/>
      <c r="I632" s="307"/>
      <c r="J632" s="307">
        <f t="shared" si="36"/>
        <v>0</v>
      </c>
      <c r="K632" s="72"/>
      <c r="L632" s="72"/>
      <c r="M632" s="72"/>
      <c r="N632" s="72"/>
      <c r="O632" s="14"/>
      <c r="P632" s="14"/>
      <c r="Q632" s="14"/>
      <c r="R632" s="14"/>
      <c r="S632" s="14"/>
      <c r="T632" s="14"/>
      <c r="U632" s="14"/>
      <c r="V632" s="14"/>
      <c r="W632" s="14"/>
    </row>
    <row r="633" spans="1:10" s="72" customFormat="1" ht="12.75">
      <c r="A633" s="46" t="s">
        <v>93</v>
      </c>
      <c r="B633" s="247" t="s">
        <v>156</v>
      </c>
      <c r="C633" s="248"/>
      <c r="D633" s="248"/>
      <c r="E633" s="248"/>
      <c r="F633" s="248"/>
      <c r="G633" s="52">
        <f>G635+G662+G674+G677</f>
        <v>7321170</v>
      </c>
      <c r="H633" s="52">
        <f>H635+H662+H674+H677</f>
        <v>7175158.78</v>
      </c>
      <c r="I633" s="52">
        <f>I635+I662+I674+I677</f>
        <v>6908220.8</v>
      </c>
      <c r="J633" s="52">
        <f>J635+J662+J674+J677</f>
        <v>146011.21999999997</v>
      </c>
    </row>
    <row r="634" spans="1:10" s="5" customFormat="1" ht="12.75">
      <c r="A634" s="57" t="s">
        <v>172</v>
      </c>
      <c r="B634" s="260"/>
      <c r="C634" s="341"/>
      <c r="D634" s="341"/>
      <c r="E634" s="341"/>
      <c r="F634" s="341"/>
      <c r="G634" s="64"/>
      <c r="H634" s="64"/>
      <c r="I634" s="64"/>
      <c r="J634" s="272"/>
    </row>
    <row r="635" spans="1:10" s="14" customFormat="1" ht="12.75">
      <c r="A635" s="117" t="s">
        <v>487</v>
      </c>
      <c r="B635" s="258" t="s">
        <v>94</v>
      </c>
      <c r="C635" s="258" t="s">
        <v>435</v>
      </c>
      <c r="D635" s="258"/>
      <c r="E635" s="258"/>
      <c r="F635" s="258"/>
      <c r="G635" s="106">
        <f>G637+G654+G636</f>
        <v>3771130</v>
      </c>
      <c r="H635" s="106">
        <f>H637+H654+H636</f>
        <v>3770188.7800000003</v>
      </c>
      <c r="I635" s="106">
        <f>I637+I654+I636</f>
        <v>3368180.8</v>
      </c>
      <c r="J635" s="106">
        <f>J637+J654+J636</f>
        <v>941.2199999999721</v>
      </c>
    </row>
    <row r="636" spans="1:10" s="14" customFormat="1" ht="12.75">
      <c r="A636" s="175"/>
      <c r="B636" s="252" t="s">
        <v>94</v>
      </c>
      <c r="C636" s="252" t="s">
        <v>436</v>
      </c>
      <c r="D636" s="252" t="s">
        <v>181</v>
      </c>
      <c r="E636" s="252" t="s">
        <v>30</v>
      </c>
      <c r="F636" s="252" t="s">
        <v>134</v>
      </c>
      <c r="G636" s="64">
        <f>50000-50000</f>
        <v>0</v>
      </c>
      <c r="H636" s="59"/>
      <c r="I636" s="59"/>
      <c r="J636" s="64">
        <f>G636-H636</f>
        <v>0</v>
      </c>
    </row>
    <row r="637" spans="1:10" s="14" customFormat="1" ht="25.5">
      <c r="A637" s="104" t="s">
        <v>237</v>
      </c>
      <c r="B637" s="251" t="s">
        <v>94</v>
      </c>
      <c r="C637" s="251" t="s">
        <v>436</v>
      </c>
      <c r="D637" s="251" t="s">
        <v>219</v>
      </c>
      <c r="E637" s="252"/>
      <c r="F637" s="252"/>
      <c r="G637" s="59">
        <f>G638</f>
        <v>841840</v>
      </c>
      <c r="H637" s="59">
        <f>H638</f>
        <v>841289.78</v>
      </c>
      <c r="I637" s="59">
        <f>I638</f>
        <v>841289.78</v>
      </c>
      <c r="J637" s="59">
        <f>J638</f>
        <v>550.2199999999721</v>
      </c>
    </row>
    <row r="638" spans="1:10" s="14" customFormat="1" ht="25.5">
      <c r="A638" s="104" t="s">
        <v>226</v>
      </c>
      <c r="B638" s="251" t="s">
        <v>94</v>
      </c>
      <c r="C638" s="251" t="s">
        <v>436</v>
      </c>
      <c r="D638" s="251" t="s">
        <v>146</v>
      </c>
      <c r="E638" s="252"/>
      <c r="F638" s="252"/>
      <c r="G638" s="59">
        <f>G639+G641+G651+G649+G648</f>
        <v>841840</v>
      </c>
      <c r="H638" s="59">
        <f>H639+H641+H651+H649+H648</f>
        <v>841289.78</v>
      </c>
      <c r="I638" s="59">
        <f>I639+I641+I651+I649+I648</f>
        <v>841289.78</v>
      </c>
      <c r="J638" s="59">
        <f>J639+J641+J651+J649+J648</f>
        <v>550.2199999999721</v>
      </c>
    </row>
    <row r="639" spans="1:10" s="131" customFormat="1" ht="12.75">
      <c r="A639" s="130" t="s">
        <v>20</v>
      </c>
      <c r="B639" s="282" t="s">
        <v>94</v>
      </c>
      <c r="C639" s="252" t="s">
        <v>436</v>
      </c>
      <c r="D639" s="282" t="s">
        <v>146</v>
      </c>
      <c r="E639" s="282" t="s">
        <v>21</v>
      </c>
      <c r="F639" s="282"/>
      <c r="G639" s="283">
        <f>G640</f>
        <v>25000</v>
      </c>
      <c r="H639" s="283">
        <f>H640</f>
        <v>25000</v>
      </c>
      <c r="I639" s="283">
        <f>I640</f>
        <v>25000</v>
      </c>
      <c r="J639" s="283">
        <f>J640</f>
        <v>0</v>
      </c>
    </row>
    <row r="640" spans="1:12" s="14" customFormat="1" ht="25.5">
      <c r="A640" s="105" t="s">
        <v>337</v>
      </c>
      <c r="B640" s="252" t="s">
        <v>94</v>
      </c>
      <c r="C640" s="252" t="s">
        <v>436</v>
      </c>
      <c r="D640" s="252" t="s">
        <v>146</v>
      </c>
      <c r="E640" s="252" t="s">
        <v>21</v>
      </c>
      <c r="F640" s="252" t="s">
        <v>117</v>
      </c>
      <c r="G640" s="64">
        <f>44000+25000+28000-8800-63200</f>
        <v>25000</v>
      </c>
      <c r="H640" s="64">
        <f>25000</f>
        <v>25000</v>
      </c>
      <c r="I640" s="64">
        <f>25000</f>
        <v>25000</v>
      </c>
      <c r="J640" s="64">
        <f>G640-H640</f>
        <v>0</v>
      </c>
      <c r="K640" s="81"/>
      <c r="L640" s="72"/>
    </row>
    <row r="641" spans="1:10" s="14" customFormat="1" ht="12.75">
      <c r="A641" s="118" t="s">
        <v>35</v>
      </c>
      <c r="B641" s="376" t="s">
        <v>94</v>
      </c>
      <c r="C641" s="252" t="s">
        <v>436</v>
      </c>
      <c r="D641" s="376" t="s">
        <v>146</v>
      </c>
      <c r="E641" s="376" t="s">
        <v>453</v>
      </c>
      <c r="F641" s="320"/>
      <c r="G641" s="300">
        <f>G647</f>
        <v>0</v>
      </c>
      <c r="H641" s="383">
        <f>H647</f>
        <v>0</v>
      </c>
      <c r="I641" s="383">
        <f>I647</f>
        <v>0</v>
      </c>
      <c r="J641" s="64">
        <f aca="true" t="shared" si="37" ref="J641:J648">G641-H641</f>
        <v>0</v>
      </c>
    </row>
    <row r="642" spans="1:23" s="67" customFormat="1" ht="12.75">
      <c r="A642" s="79" t="s">
        <v>195</v>
      </c>
      <c r="B642" s="320"/>
      <c r="C642" s="252" t="s">
        <v>436</v>
      </c>
      <c r="D642" s="320"/>
      <c r="E642" s="320"/>
      <c r="F642" s="320"/>
      <c r="G642" s="64"/>
      <c r="H642" s="307"/>
      <c r="I642" s="307"/>
      <c r="J642" s="64">
        <f t="shared" si="37"/>
        <v>0</v>
      </c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</row>
    <row r="643" spans="1:23" s="67" customFormat="1" ht="12.75">
      <c r="A643" s="79" t="s">
        <v>194</v>
      </c>
      <c r="B643" s="320"/>
      <c r="C643" s="252" t="s">
        <v>436</v>
      </c>
      <c r="D643" s="320"/>
      <c r="E643" s="320"/>
      <c r="F643" s="320"/>
      <c r="G643" s="64"/>
      <c r="H643" s="307"/>
      <c r="I643" s="307"/>
      <c r="J643" s="64">
        <f t="shared" si="37"/>
        <v>0</v>
      </c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</row>
    <row r="644" spans="1:23" s="67" customFormat="1" ht="12.75">
      <c r="A644" s="79" t="s">
        <v>138</v>
      </c>
      <c r="B644" s="320"/>
      <c r="C644" s="252" t="s">
        <v>436</v>
      </c>
      <c r="D644" s="320"/>
      <c r="E644" s="320"/>
      <c r="F644" s="320"/>
      <c r="G644" s="64"/>
      <c r="H644" s="307"/>
      <c r="I644" s="307"/>
      <c r="J644" s="64">
        <f t="shared" si="37"/>
        <v>0</v>
      </c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</row>
    <row r="645" spans="1:23" s="67" customFormat="1" ht="25.5">
      <c r="A645" s="79" t="s">
        <v>196</v>
      </c>
      <c r="B645" s="320"/>
      <c r="C645" s="252" t="s">
        <v>436</v>
      </c>
      <c r="D645" s="320"/>
      <c r="E645" s="320"/>
      <c r="F645" s="320"/>
      <c r="G645" s="64"/>
      <c r="H645" s="307"/>
      <c r="I645" s="307"/>
      <c r="J645" s="64">
        <f t="shared" si="37"/>
        <v>0</v>
      </c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</row>
    <row r="646" spans="1:23" s="67" customFormat="1" ht="25.5">
      <c r="A646" s="79" t="s">
        <v>205</v>
      </c>
      <c r="B646" s="320"/>
      <c r="C646" s="252" t="s">
        <v>436</v>
      </c>
      <c r="D646" s="320"/>
      <c r="E646" s="320"/>
      <c r="F646" s="320"/>
      <c r="G646" s="64"/>
      <c r="H646" s="307"/>
      <c r="I646" s="307"/>
      <c r="J646" s="64">
        <f t="shared" si="37"/>
        <v>0</v>
      </c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</row>
    <row r="647" spans="1:23" s="80" customFormat="1" ht="25.5">
      <c r="A647" s="79" t="s">
        <v>323</v>
      </c>
      <c r="B647" s="320" t="s">
        <v>94</v>
      </c>
      <c r="C647" s="252" t="s">
        <v>436</v>
      </c>
      <c r="D647" s="320" t="s">
        <v>146</v>
      </c>
      <c r="E647" s="320" t="s">
        <v>453</v>
      </c>
      <c r="F647" s="320" t="s">
        <v>130</v>
      </c>
      <c r="G647" s="64">
        <v>0</v>
      </c>
      <c r="H647" s="307"/>
      <c r="I647" s="307"/>
      <c r="J647" s="64">
        <f t="shared" si="37"/>
        <v>0</v>
      </c>
      <c r="K647" s="140"/>
      <c r="L647" s="140"/>
      <c r="M647" s="141"/>
      <c r="N647" s="14"/>
      <c r="O647" s="14"/>
      <c r="P647" s="14"/>
      <c r="Q647" s="14"/>
      <c r="R647" s="14"/>
      <c r="S647" s="14"/>
      <c r="T647" s="14"/>
      <c r="U647" s="14"/>
      <c r="V647" s="14"/>
      <c r="W647" s="14"/>
    </row>
    <row r="648" spans="1:23" s="80" customFormat="1" ht="12.75">
      <c r="A648" s="79" t="s">
        <v>29</v>
      </c>
      <c r="B648" s="252" t="s">
        <v>94</v>
      </c>
      <c r="C648" s="252" t="s">
        <v>436</v>
      </c>
      <c r="D648" s="252" t="s">
        <v>146</v>
      </c>
      <c r="E648" s="252" t="s">
        <v>30</v>
      </c>
      <c r="F648" s="252" t="s">
        <v>128</v>
      </c>
      <c r="G648" s="64"/>
      <c r="H648" s="307"/>
      <c r="I648" s="307"/>
      <c r="J648" s="64">
        <f t="shared" si="37"/>
        <v>0</v>
      </c>
      <c r="K648" s="140"/>
      <c r="L648" s="140"/>
      <c r="M648" s="141"/>
      <c r="N648" s="14"/>
      <c r="O648" s="14"/>
      <c r="P648" s="14"/>
      <c r="Q648" s="14"/>
      <c r="R648" s="14"/>
      <c r="S648" s="14"/>
      <c r="T648" s="14"/>
      <c r="U648" s="14"/>
      <c r="V648" s="14"/>
      <c r="W648" s="14"/>
    </row>
    <row r="649" spans="1:23" s="80" customFormat="1" ht="12.75">
      <c r="A649" s="119" t="s">
        <v>309</v>
      </c>
      <c r="B649" s="282" t="s">
        <v>94</v>
      </c>
      <c r="C649" s="252" t="s">
        <v>436</v>
      </c>
      <c r="D649" s="282" t="s">
        <v>146</v>
      </c>
      <c r="E649" s="282" t="s">
        <v>39</v>
      </c>
      <c r="F649" s="282"/>
      <c r="G649" s="300">
        <f>G650</f>
        <v>278600</v>
      </c>
      <c r="H649" s="383">
        <f>H650</f>
        <v>278600</v>
      </c>
      <c r="I649" s="383">
        <f>I650</f>
        <v>278600</v>
      </c>
      <c r="J649" s="383">
        <f>J650</f>
        <v>0</v>
      </c>
      <c r="K649" s="140"/>
      <c r="L649" s="140"/>
      <c r="M649" s="141"/>
      <c r="N649" s="14"/>
      <c r="O649" s="14"/>
      <c r="P649" s="14"/>
      <c r="Q649" s="14"/>
      <c r="R649" s="14"/>
      <c r="S649" s="14"/>
      <c r="T649" s="14"/>
      <c r="U649" s="14"/>
      <c r="V649" s="14"/>
      <c r="W649" s="14"/>
    </row>
    <row r="650" spans="1:23" s="80" customFormat="1" ht="12.75">
      <c r="A650" s="54" t="s">
        <v>138</v>
      </c>
      <c r="B650" s="320" t="s">
        <v>94</v>
      </c>
      <c r="C650" s="252" t="s">
        <v>436</v>
      </c>
      <c r="D650" s="320" t="s">
        <v>146</v>
      </c>
      <c r="E650" s="320" t="s">
        <v>39</v>
      </c>
      <c r="F650" s="252" t="s">
        <v>131</v>
      </c>
      <c r="G650" s="64">
        <f>350000-71400</f>
        <v>278600</v>
      </c>
      <c r="H650" s="307">
        <v>278600</v>
      </c>
      <c r="I650" s="307">
        <v>278600</v>
      </c>
      <c r="J650" s="384">
        <f>G650-H650</f>
        <v>0</v>
      </c>
      <c r="K650" s="56"/>
      <c r="L650" s="56"/>
      <c r="M650" s="56"/>
      <c r="N650" s="14"/>
      <c r="O650" s="14"/>
      <c r="P650" s="14"/>
      <c r="Q650" s="14"/>
      <c r="R650" s="14"/>
      <c r="S650" s="14"/>
      <c r="T650" s="14"/>
      <c r="U650" s="14"/>
      <c r="V650" s="14"/>
      <c r="W650" s="14"/>
    </row>
    <row r="651" spans="1:23" s="80" customFormat="1" ht="12.75">
      <c r="A651" s="119" t="s">
        <v>309</v>
      </c>
      <c r="B651" s="282" t="s">
        <v>94</v>
      </c>
      <c r="C651" s="252" t="s">
        <v>436</v>
      </c>
      <c r="D651" s="282" t="s">
        <v>146</v>
      </c>
      <c r="E651" s="282" t="s">
        <v>42</v>
      </c>
      <c r="F651" s="282"/>
      <c r="G651" s="300">
        <f>G652+G653</f>
        <v>538240</v>
      </c>
      <c r="H651" s="300">
        <f>H652+H653</f>
        <v>537689.78</v>
      </c>
      <c r="I651" s="300">
        <f>I652+I653</f>
        <v>537689.78</v>
      </c>
      <c r="J651" s="300">
        <f>J652+J653</f>
        <v>550.2199999999721</v>
      </c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</row>
    <row r="652" spans="1:11" s="14" customFormat="1" ht="12.75">
      <c r="A652" s="54" t="s">
        <v>324</v>
      </c>
      <c r="B652" s="320" t="s">
        <v>94</v>
      </c>
      <c r="C652" s="252" t="s">
        <v>436</v>
      </c>
      <c r="D652" s="320" t="s">
        <v>146</v>
      </c>
      <c r="E652" s="320" t="s">
        <v>497</v>
      </c>
      <c r="F652" s="252" t="s">
        <v>133</v>
      </c>
      <c r="G652" s="64"/>
      <c r="H652" s="64"/>
      <c r="I652" s="64"/>
      <c r="J652" s="64">
        <f>G652-H652</f>
        <v>0</v>
      </c>
      <c r="K652" s="154"/>
    </row>
    <row r="653" spans="1:16" s="14" customFormat="1" ht="25.5">
      <c r="A653" s="79" t="s">
        <v>323</v>
      </c>
      <c r="B653" s="320" t="s">
        <v>94</v>
      </c>
      <c r="C653" s="252" t="s">
        <v>436</v>
      </c>
      <c r="D653" s="320" t="s">
        <v>146</v>
      </c>
      <c r="E653" s="320" t="s">
        <v>498</v>
      </c>
      <c r="F653" s="252" t="s">
        <v>130</v>
      </c>
      <c r="G653" s="64">
        <f>474340-25000+128900-40000</f>
        <v>538240</v>
      </c>
      <c r="H653" s="64">
        <f>62571.35+12671.1+102258+167856+192333.33</f>
        <v>537689.78</v>
      </c>
      <c r="I653" s="64">
        <f>62571.35+102258+12671.1+192333.33+167856</f>
        <v>537689.78</v>
      </c>
      <c r="J653" s="64">
        <f>G653-H653</f>
        <v>550.2199999999721</v>
      </c>
      <c r="K653" s="192"/>
      <c r="L653" s="193"/>
      <c r="M653" s="193"/>
      <c r="N653" s="193"/>
      <c r="O653" s="193"/>
      <c r="P653" s="193"/>
    </row>
    <row r="654" spans="1:10" s="14" customFormat="1" ht="25.5">
      <c r="A654" s="120" t="s">
        <v>234</v>
      </c>
      <c r="B654" s="323" t="s">
        <v>94</v>
      </c>
      <c r="C654" s="251" t="s">
        <v>436</v>
      </c>
      <c r="D654" s="323" t="s">
        <v>37</v>
      </c>
      <c r="E654" s="323"/>
      <c r="F654" s="251"/>
      <c r="G654" s="59">
        <f>G656+G655+G660</f>
        <v>2929290</v>
      </c>
      <c r="H654" s="59">
        <f>H656+H655+H660</f>
        <v>2928899</v>
      </c>
      <c r="I654" s="59">
        <f>I656+I655+I660</f>
        <v>2526891.02</v>
      </c>
      <c r="J654" s="59">
        <f>J656+J655+J660</f>
        <v>391</v>
      </c>
    </row>
    <row r="655" spans="1:10" s="14" customFormat="1" ht="12.75">
      <c r="A655" s="120"/>
      <c r="B655" s="323" t="s">
        <v>94</v>
      </c>
      <c r="C655" s="252" t="s">
        <v>436</v>
      </c>
      <c r="D655" s="323" t="s">
        <v>372</v>
      </c>
      <c r="E655" s="323" t="s">
        <v>34</v>
      </c>
      <c r="F655" s="251" t="s">
        <v>135</v>
      </c>
      <c r="G655" s="59">
        <f>40000-40000</f>
        <v>0</v>
      </c>
      <c r="H655" s="59">
        <f>40000-40000</f>
        <v>0</v>
      </c>
      <c r="I655" s="59">
        <f>40000-40000</f>
        <v>0</v>
      </c>
      <c r="J655" s="59">
        <f>40000-40000</f>
        <v>0</v>
      </c>
    </row>
    <row r="656" spans="1:10" s="14" customFormat="1" ht="12.75">
      <c r="A656" s="120" t="s">
        <v>325</v>
      </c>
      <c r="B656" s="323" t="s">
        <v>94</v>
      </c>
      <c r="C656" s="252" t="s">
        <v>436</v>
      </c>
      <c r="D656" s="323" t="s">
        <v>372</v>
      </c>
      <c r="E656" s="323"/>
      <c r="F656" s="251"/>
      <c r="G656" s="59">
        <f>G657</f>
        <v>2929290</v>
      </c>
      <c r="H656" s="59">
        <f>H657</f>
        <v>2928899</v>
      </c>
      <c r="I656" s="59">
        <f>I657</f>
        <v>2526891.02</v>
      </c>
      <c r="J656" s="59">
        <f>J657</f>
        <v>391</v>
      </c>
    </row>
    <row r="657" spans="1:10" s="14" customFormat="1" ht="12.75">
      <c r="A657" s="119" t="s">
        <v>326</v>
      </c>
      <c r="B657" s="376" t="s">
        <v>94</v>
      </c>
      <c r="C657" s="252" t="s">
        <v>436</v>
      </c>
      <c r="D657" s="376" t="s">
        <v>372</v>
      </c>
      <c r="E657" s="376" t="s">
        <v>34</v>
      </c>
      <c r="F657" s="252"/>
      <c r="G657" s="64">
        <f>G658+G659</f>
        <v>2929290</v>
      </c>
      <c r="H657" s="64">
        <f>H658+H659</f>
        <v>2928899</v>
      </c>
      <c r="I657" s="64">
        <f>I658+I659</f>
        <v>2526891.02</v>
      </c>
      <c r="J657" s="64">
        <f>J658+J659</f>
        <v>391</v>
      </c>
    </row>
    <row r="658" spans="1:10" s="14" customFormat="1" ht="12.75">
      <c r="A658" s="119"/>
      <c r="B658" s="320" t="s">
        <v>94</v>
      </c>
      <c r="C658" s="252" t="s">
        <v>436</v>
      </c>
      <c r="D658" s="320" t="s">
        <v>149</v>
      </c>
      <c r="E658" s="320" t="s">
        <v>532</v>
      </c>
      <c r="F658" s="252" t="s">
        <v>135</v>
      </c>
      <c r="G658" s="64">
        <f>80790+42500</f>
        <v>123290</v>
      </c>
      <c r="H658" s="64">
        <f>46690+76209</f>
        <v>122899</v>
      </c>
      <c r="I658" s="64">
        <f>46690+76209</f>
        <v>122899</v>
      </c>
      <c r="J658" s="64">
        <f>G658-H658</f>
        <v>391</v>
      </c>
    </row>
    <row r="659" spans="1:10" s="14" customFormat="1" ht="12.75">
      <c r="A659" s="54" t="s">
        <v>327</v>
      </c>
      <c r="B659" s="320" t="s">
        <v>94</v>
      </c>
      <c r="C659" s="252" t="s">
        <v>436</v>
      </c>
      <c r="D659" s="320" t="s">
        <v>372</v>
      </c>
      <c r="E659" s="320" t="s">
        <v>34</v>
      </c>
      <c r="F659" s="252" t="s">
        <v>135</v>
      </c>
      <c r="G659" s="64">
        <f>1000000+1100000+450000+144000+8800+103200</f>
        <v>2806000</v>
      </c>
      <c r="H659" s="64">
        <v>2806000</v>
      </c>
      <c r="I659" s="64">
        <f>G659-402007.98</f>
        <v>2403992.02</v>
      </c>
      <c r="J659" s="64">
        <f>G659-H659</f>
        <v>0</v>
      </c>
    </row>
    <row r="660" spans="1:10" s="14" customFormat="1" ht="12.75">
      <c r="A660" s="120" t="s">
        <v>35</v>
      </c>
      <c r="B660" s="323" t="s">
        <v>94</v>
      </c>
      <c r="C660" s="252" t="s">
        <v>436</v>
      </c>
      <c r="D660" s="323" t="s">
        <v>181</v>
      </c>
      <c r="E660" s="323" t="s">
        <v>36</v>
      </c>
      <c r="F660" s="251" t="s">
        <v>134</v>
      </c>
      <c r="G660" s="59">
        <v>0</v>
      </c>
      <c r="H660" s="59"/>
      <c r="I660" s="59"/>
      <c r="J660" s="372"/>
    </row>
    <row r="661" spans="1:10" s="14" customFormat="1" ht="38.25">
      <c r="A661" s="120" t="s">
        <v>396</v>
      </c>
      <c r="B661" s="323" t="s">
        <v>94</v>
      </c>
      <c r="C661" s="252" t="s">
        <v>436</v>
      </c>
      <c r="D661" s="323" t="s">
        <v>397</v>
      </c>
      <c r="E661" s="323" t="s">
        <v>62</v>
      </c>
      <c r="F661" s="251"/>
      <c r="G661" s="59">
        <v>0</v>
      </c>
      <c r="H661" s="59"/>
      <c r="I661" s="59"/>
      <c r="J661" s="372"/>
    </row>
    <row r="662" spans="1:10" s="14" customFormat="1" ht="25.5">
      <c r="A662" s="99" t="s">
        <v>483</v>
      </c>
      <c r="B662" s="258" t="s">
        <v>94</v>
      </c>
      <c r="C662" s="258" t="s">
        <v>437</v>
      </c>
      <c r="D662" s="258"/>
      <c r="E662" s="258"/>
      <c r="F662" s="258"/>
      <c r="G662" s="106">
        <f>G663+G667</f>
        <v>2000000</v>
      </c>
      <c r="H662" s="106">
        <f>H663+H667</f>
        <v>2000000</v>
      </c>
      <c r="I662" s="106">
        <f>I663+I667</f>
        <v>2000000</v>
      </c>
      <c r="J662" s="106">
        <f>J663+J667</f>
        <v>0</v>
      </c>
    </row>
    <row r="663" spans="1:10" s="72" customFormat="1" ht="25.5">
      <c r="A663" s="104" t="s">
        <v>331</v>
      </c>
      <c r="B663" s="323" t="s">
        <v>94</v>
      </c>
      <c r="C663" s="360">
        <v>2030010030</v>
      </c>
      <c r="D663" s="323"/>
      <c r="E663" s="323"/>
      <c r="F663" s="323"/>
      <c r="G663" s="319">
        <f>+G665</f>
        <v>0</v>
      </c>
      <c r="H663" s="319">
        <f>+H665</f>
        <v>0</v>
      </c>
      <c r="I663" s="319">
        <f>+I665</f>
        <v>0</v>
      </c>
      <c r="J663" s="319">
        <f>+J665</f>
        <v>0</v>
      </c>
    </row>
    <row r="664" spans="1:10" s="72" customFormat="1" ht="12.75">
      <c r="A664" s="120"/>
      <c r="B664" s="323" t="s">
        <v>94</v>
      </c>
      <c r="C664" s="360">
        <v>2030010030</v>
      </c>
      <c r="D664" s="323" t="s">
        <v>249</v>
      </c>
      <c r="E664" s="323"/>
      <c r="F664" s="323"/>
      <c r="G664" s="319">
        <f>G665</f>
        <v>0</v>
      </c>
      <c r="H664" s="319">
        <f aca="true" t="shared" si="38" ref="H664:J665">H665</f>
        <v>0</v>
      </c>
      <c r="I664" s="319">
        <f t="shared" si="38"/>
        <v>0</v>
      </c>
      <c r="J664" s="319">
        <f t="shared" si="38"/>
        <v>0</v>
      </c>
    </row>
    <row r="665" spans="1:10" s="72" customFormat="1" ht="12.75">
      <c r="A665" s="27" t="s">
        <v>35</v>
      </c>
      <c r="B665" s="320" t="s">
        <v>94</v>
      </c>
      <c r="C665" s="363">
        <v>2030010030</v>
      </c>
      <c r="D665" s="320" t="s">
        <v>370</v>
      </c>
      <c r="E665" s="320" t="s">
        <v>453</v>
      </c>
      <c r="F665" s="323"/>
      <c r="G665" s="307">
        <f>G666</f>
        <v>0</v>
      </c>
      <c r="H665" s="307">
        <f t="shared" si="38"/>
        <v>0</v>
      </c>
      <c r="I665" s="319">
        <f t="shared" si="38"/>
        <v>0</v>
      </c>
      <c r="J665" s="319">
        <f t="shared" si="38"/>
        <v>0</v>
      </c>
    </row>
    <row r="666" spans="1:10" s="72" customFormat="1" ht="12.75">
      <c r="A666" s="42" t="s">
        <v>332</v>
      </c>
      <c r="B666" s="320" t="s">
        <v>94</v>
      </c>
      <c r="C666" s="363">
        <v>2030010030</v>
      </c>
      <c r="D666" s="320" t="s">
        <v>370</v>
      </c>
      <c r="E666" s="320" t="s">
        <v>453</v>
      </c>
      <c r="F666" s="320" t="s">
        <v>134</v>
      </c>
      <c r="G666" s="307"/>
      <c r="H666" s="307"/>
      <c r="I666" s="319"/>
      <c r="J666" s="307">
        <f>G666-H666</f>
        <v>0</v>
      </c>
    </row>
    <row r="667" spans="1:10" s="5" customFormat="1" ht="25.5">
      <c r="A667" s="122" t="s">
        <v>328</v>
      </c>
      <c r="B667" s="279" t="s">
        <v>94</v>
      </c>
      <c r="C667" s="279" t="s">
        <v>611</v>
      </c>
      <c r="D667" s="279"/>
      <c r="E667" s="279"/>
      <c r="F667" s="279"/>
      <c r="G667" s="313">
        <f>G668</f>
        <v>2000000</v>
      </c>
      <c r="H667" s="313">
        <f aca="true" t="shared" si="39" ref="H667:J669">H668</f>
        <v>2000000</v>
      </c>
      <c r="I667" s="313">
        <f t="shared" si="39"/>
        <v>2000000</v>
      </c>
      <c r="J667" s="313">
        <f t="shared" si="39"/>
        <v>0</v>
      </c>
    </row>
    <row r="668" spans="1:10" s="5" customFormat="1" ht="12.75">
      <c r="A668" s="120"/>
      <c r="B668" s="279" t="s">
        <v>94</v>
      </c>
      <c r="C668" s="279" t="s">
        <v>611</v>
      </c>
      <c r="D668" s="279" t="s">
        <v>399</v>
      </c>
      <c r="E668" s="256"/>
      <c r="F668" s="256"/>
      <c r="G668" s="313">
        <f>G669</f>
        <v>2000000</v>
      </c>
      <c r="H668" s="313">
        <f t="shared" si="39"/>
        <v>2000000</v>
      </c>
      <c r="I668" s="313">
        <f t="shared" si="39"/>
        <v>2000000</v>
      </c>
      <c r="J668" s="313">
        <f t="shared" si="39"/>
        <v>0</v>
      </c>
    </row>
    <row r="669" spans="1:10" s="5" customFormat="1" ht="25.5">
      <c r="A669" s="53" t="s">
        <v>329</v>
      </c>
      <c r="B669" s="279" t="s">
        <v>94</v>
      </c>
      <c r="C669" s="279" t="s">
        <v>611</v>
      </c>
      <c r="D669" s="279" t="s">
        <v>150</v>
      </c>
      <c r="E669" s="256"/>
      <c r="F669" s="256"/>
      <c r="G669" s="313">
        <f>G670</f>
        <v>2000000</v>
      </c>
      <c r="H669" s="313">
        <f t="shared" si="39"/>
        <v>2000000</v>
      </c>
      <c r="I669" s="313">
        <f t="shared" si="39"/>
        <v>2000000</v>
      </c>
      <c r="J669" s="313">
        <f t="shared" si="39"/>
        <v>0</v>
      </c>
    </row>
    <row r="670" spans="1:10" s="5" customFormat="1" ht="12.75">
      <c r="A670" s="121" t="s">
        <v>326</v>
      </c>
      <c r="B670" s="282" t="s">
        <v>94</v>
      </c>
      <c r="C670" s="256" t="s">
        <v>611</v>
      </c>
      <c r="D670" s="282" t="s">
        <v>150</v>
      </c>
      <c r="E670" s="282"/>
      <c r="F670" s="252"/>
      <c r="G670" s="64">
        <f>G672</f>
        <v>2000000</v>
      </c>
      <c r="H670" s="64">
        <f>H672</f>
        <v>2000000</v>
      </c>
      <c r="I670" s="64">
        <f>I672</f>
        <v>2000000</v>
      </c>
      <c r="J670" s="64">
        <f>J672</f>
        <v>0</v>
      </c>
    </row>
    <row r="671" spans="1:10" s="67" customFormat="1" ht="25.5" hidden="1">
      <c r="A671" s="42" t="s">
        <v>163</v>
      </c>
      <c r="B671" s="252" t="s">
        <v>94</v>
      </c>
      <c r="C671" s="256" t="s">
        <v>438</v>
      </c>
      <c r="D671" s="252"/>
      <c r="E671" s="252"/>
      <c r="F671" s="252"/>
      <c r="G671" s="64"/>
      <c r="H671" s="64"/>
      <c r="I671" s="64"/>
      <c r="J671" s="372"/>
    </row>
    <row r="672" spans="1:31" s="67" customFormat="1" ht="25.5">
      <c r="A672" s="42" t="s">
        <v>330</v>
      </c>
      <c r="B672" s="252" t="s">
        <v>94</v>
      </c>
      <c r="C672" s="256" t="s">
        <v>611</v>
      </c>
      <c r="D672" s="252" t="s">
        <v>150</v>
      </c>
      <c r="E672" s="252" t="s">
        <v>98</v>
      </c>
      <c r="F672" s="252"/>
      <c r="G672" s="64">
        <v>2000000</v>
      </c>
      <c r="H672" s="64">
        <v>2000000</v>
      </c>
      <c r="I672" s="64">
        <v>2000000</v>
      </c>
      <c r="J672" s="307">
        <f>G672-H672</f>
        <v>0</v>
      </c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</row>
    <row r="673" spans="1:31" s="67" customFormat="1" ht="12.75">
      <c r="A673" s="57" t="s">
        <v>171</v>
      </c>
      <c r="B673" s="252"/>
      <c r="C673" s="256"/>
      <c r="D673" s="252"/>
      <c r="E673" s="252"/>
      <c r="F673" s="252"/>
      <c r="G673" s="64"/>
      <c r="H673" s="64"/>
      <c r="I673" s="64"/>
      <c r="J673" s="38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</row>
    <row r="674" spans="1:10" s="5" customFormat="1" ht="25.5">
      <c r="A674" s="122" t="s">
        <v>333</v>
      </c>
      <c r="B674" s="251" t="s">
        <v>94</v>
      </c>
      <c r="C674" s="252"/>
      <c r="D674" s="252"/>
      <c r="E674" s="252"/>
      <c r="F674" s="252"/>
      <c r="G674" s="59">
        <f>G675+G676</f>
        <v>1400000</v>
      </c>
      <c r="H674" s="59">
        <f>H675+H676</f>
        <v>1314000</v>
      </c>
      <c r="I674" s="59">
        <f>I675+I676</f>
        <v>1390000</v>
      </c>
      <c r="J674" s="59">
        <f>J675+J676</f>
        <v>86000</v>
      </c>
    </row>
    <row r="675" spans="1:10" s="5" customFormat="1" ht="12.75">
      <c r="A675" s="122"/>
      <c r="B675" s="256" t="s">
        <v>94</v>
      </c>
      <c r="C675" s="252" t="s">
        <v>610</v>
      </c>
      <c r="D675" s="256" t="s">
        <v>146</v>
      </c>
      <c r="E675" s="256" t="s">
        <v>21</v>
      </c>
      <c r="F675" s="256" t="s">
        <v>117</v>
      </c>
      <c r="G675" s="64">
        <f>800000-340000-460000</f>
        <v>0</v>
      </c>
      <c r="H675" s="64"/>
      <c r="I675" s="64"/>
      <c r="J675" s="64">
        <f>G675-H675</f>
        <v>0</v>
      </c>
    </row>
    <row r="676" spans="1:10" s="5" customFormat="1" ht="12.75">
      <c r="A676" s="122"/>
      <c r="B676" s="256" t="s">
        <v>94</v>
      </c>
      <c r="C676" s="252" t="s">
        <v>371</v>
      </c>
      <c r="D676" s="256" t="s">
        <v>146</v>
      </c>
      <c r="E676" s="256" t="s">
        <v>21</v>
      </c>
      <c r="F676" s="256" t="s">
        <v>117</v>
      </c>
      <c r="G676" s="64">
        <f>340000+460000+600000</f>
        <v>1400000</v>
      </c>
      <c r="H676" s="64">
        <v>1314000</v>
      </c>
      <c r="I676" s="64">
        <f>800000+590000</f>
        <v>1390000</v>
      </c>
      <c r="J676" s="64">
        <f>G676-H676</f>
        <v>86000</v>
      </c>
    </row>
    <row r="677" spans="1:10" s="5" customFormat="1" ht="25.5">
      <c r="A677" s="53" t="s">
        <v>234</v>
      </c>
      <c r="B677" s="279" t="s">
        <v>94</v>
      </c>
      <c r="C677" s="252"/>
      <c r="D677" s="279" t="s">
        <v>37</v>
      </c>
      <c r="E677" s="256"/>
      <c r="F677" s="256"/>
      <c r="G677" s="313">
        <f>G678+G679</f>
        <v>150040</v>
      </c>
      <c r="H677" s="313">
        <f>H678+H679</f>
        <v>90970</v>
      </c>
      <c r="I677" s="313">
        <f>I678+I679</f>
        <v>150040</v>
      </c>
      <c r="J677" s="313">
        <f>J678+J679</f>
        <v>59070</v>
      </c>
    </row>
    <row r="678" spans="1:10" s="5" customFormat="1" ht="38.25">
      <c r="A678" s="53" t="s">
        <v>612</v>
      </c>
      <c r="B678" s="279" t="s">
        <v>94</v>
      </c>
      <c r="C678" s="252" t="s">
        <v>240</v>
      </c>
      <c r="D678" s="279" t="s">
        <v>372</v>
      </c>
      <c r="E678" s="256" t="s">
        <v>34</v>
      </c>
      <c r="F678" s="256" t="s">
        <v>135</v>
      </c>
      <c r="G678" s="272">
        <f>450000-450000</f>
        <v>0</v>
      </c>
      <c r="H678" s="272"/>
      <c r="I678" s="272"/>
      <c r="J678" s="272">
        <f>G678-H678</f>
        <v>0</v>
      </c>
    </row>
    <row r="679" spans="1:11" s="5" customFormat="1" ht="25.5">
      <c r="A679" s="53" t="s">
        <v>379</v>
      </c>
      <c r="B679" s="279" t="s">
        <v>94</v>
      </c>
      <c r="C679" s="361" t="s">
        <v>371</v>
      </c>
      <c r="D679" s="279" t="s">
        <v>372</v>
      </c>
      <c r="E679" s="279" t="s">
        <v>34</v>
      </c>
      <c r="F679" s="279" t="s">
        <v>135</v>
      </c>
      <c r="G679" s="64">
        <f>300000-149960</f>
        <v>150040</v>
      </c>
      <c r="H679" s="272">
        <v>90970</v>
      </c>
      <c r="I679" s="272">
        <v>150040</v>
      </c>
      <c r="J679" s="313">
        <f>G679-H679</f>
        <v>59070</v>
      </c>
      <c r="K679" s="142"/>
    </row>
    <row r="680" spans="1:10" s="5" customFormat="1" ht="51">
      <c r="A680" s="108" t="s">
        <v>310</v>
      </c>
      <c r="B680" s="258" t="s">
        <v>139</v>
      </c>
      <c r="C680" s="258" t="s">
        <v>311</v>
      </c>
      <c r="D680" s="258"/>
      <c r="E680" s="258"/>
      <c r="F680" s="258"/>
      <c r="G680" s="385">
        <f>G681</f>
        <v>0</v>
      </c>
      <c r="H680" s="385"/>
      <c r="I680" s="385"/>
      <c r="J680" s="401"/>
    </row>
    <row r="681" spans="1:10" s="72" customFormat="1" ht="25.5">
      <c r="A681" s="120" t="s">
        <v>234</v>
      </c>
      <c r="B681" s="323" t="s">
        <v>139</v>
      </c>
      <c r="C681" s="323" t="s">
        <v>311</v>
      </c>
      <c r="D681" s="323" t="s">
        <v>37</v>
      </c>
      <c r="E681" s="323"/>
      <c r="F681" s="323"/>
      <c r="G681" s="307">
        <f>G682+G685</f>
        <v>0</v>
      </c>
      <c r="H681" s="307"/>
      <c r="I681" s="307"/>
      <c r="J681" s="382"/>
    </row>
    <row r="682" spans="1:10" s="72" customFormat="1" ht="12.75">
      <c r="A682" s="53" t="s">
        <v>325</v>
      </c>
      <c r="B682" s="323" t="s">
        <v>139</v>
      </c>
      <c r="C682" s="323" t="s">
        <v>311</v>
      </c>
      <c r="D682" s="323" t="s">
        <v>149</v>
      </c>
      <c r="E682" s="323"/>
      <c r="F682" s="323"/>
      <c r="G682" s="307">
        <f>G683</f>
        <v>0</v>
      </c>
      <c r="H682" s="307"/>
      <c r="I682" s="307"/>
      <c r="J682" s="382"/>
    </row>
    <row r="683" spans="1:10" s="72" customFormat="1" ht="12.75">
      <c r="A683" s="123" t="s">
        <v>29</v>
      </c>
      <c r="B683" s="376" t="s">
        <v>139</v>
      </c>
      <c r="C683" s="376" t="s">
        <v>311</v>
      </c>
      <c r="D683" s="376" t="s">
        <v>149</v>
      </c>
      <c r="E683" s="376" t="s">
        <v>30</v>
      </c>
      <c r="F683" s="323"/>
      <c r="G683" s="307">
        <f>G684</f>
        <v>0</v>
      </c>
      <c r="H683" s="307"/>
      <c r="I683" s="307"/>
      <c r="J683" s="382"/>
    </row>
    <row r="684" spans="1:10" s="72" customFormat="1" ht="25.5">
      <c r="A684" s="27" t="s">
        <v>334</v>
      </c>
      <c r="B684" s="320" t="s">
        <v>139</v>
      </c>
      <c r="C684" s="320" t="s">
        <v>311</v>
      </c>
      <c r="D684" s="320" t="s">
        <v>149</v>
      </c>
      <c r="E684" s="320" t="s">
        <v>30</v>
      </c>
      <c r="F684" s="320" t="s">
        <v>128</v>
      </c>
      <c r="G684" s="307">
        <v>0</v>
      </c>
      <c r="H684" s="307"/>
      <c r="I684" s="307"/>
      <c r="J684" s="382"/>
    </row>
    <row r="685" spans="1:10" s="72" customFormat="1" ht="25.5">
      <c r="A685" s="105" t="s">
        <v>334</v>
      </c>
      <c r="B685" s="320" t="s">
        <v>139</v>
      </c>
      <c r="C685" s="320" t="s">
        <v>311</v>
      </c>
      <c r="D685" s="320" t="s">
        <v>146</v>
      </c>
      <c r="E685" s="320" t="s">
        <v>30</v>
      </c>
      <c r="F685" s="320" t="s">
        <v>128</v>
      </c>
      <c r="G685" s="307">
        <v>0</v>
      </c>
      <c r="H685" s="307"/>
      <c r="I685" s="307"/>
      <c r="J685" s="382"/>
    </row>
    <row r="686" spans="1:10" s="5" customFormat="1" ht="12.75">
      <c r="A686" s="45" t="s">
        <v>103</v>
      </c>
      <c r="B686" s="247" t="s">
        <v>96</v>
      </c>
      <c r="C686" s="247"/>
      <c r="D686" s="247"/>
      <c r="E686" s="247"/>
      <c r="F686" s="247"/>
      <c r="G686" s="52">
        <f>G688+G717</f>
        <v>6649391.72</v>
      </c>
      <c r="H686" s="52">
        <f>H688+H717</f>
        <v>6257598.82</v>
      </c>
      <c r="I686" s="52">
        <f>I688+I717</f>
        <v>4231729.699999999</v>
      </c>
      <c r="J686" s="52">
        <f>J688+J717</f>
        <v>391792.8999999999</v>
      </c>
    </row>
    <row r="687" spans="1:10" s="5" customFormat="1" ht="12.75">
      <c r="A687" s="57" t="s">
        <v>172</v>
      </c>
      <c r="B687" s="251"/>
      <c r="C687" s="251"/>
      <c r="D687" s="251"/>
      <c r="E687" s="251"/>
      <c r="F687" s="251"/>
      <c r="G687" s="64"/>
      <c r="H687" s="64"/>
      <c r="I687" s="64"/>
      <c r="J687" s="64"/>
    </row>
    <row r="688" spans="1:10" s="14" customFormat="1" ht="12.75">
      <c r="A688" s="117" t="s">
        <v>488</v>
      </c>
      <c r="B688" s="258" t="s">
        <v>122</v>
      </c>
      <c r="C688" s="386">
        <v>1400000000</v>
      </c>
      <c r="D688" s="387"/>
      <c r="E688" s="387"/>
      <c r="F688" s="387"/>
      <c r="G688" s="106">
        <f>G689+G698+G712</f>
        <v>6649391.72</v>
      </c>
      <c r="H688" s="106">
        <f>H689+H698+H712</f>
        <v>6257598.82</v>
      </c>
      <c r="I688" s="106">
        <f>I689+I698+I712</f>
        <v>4231729.699999999</v>
      </c>
      <c r="J688" s="106">
        <f>J689+J698+J712</f>
        <v>391792.8999999999</v>
      </c>
    </row>
    <row r="689" spans="1:10" s="5" customFormat="1" ht="38.25">
      <c r="A689" s="113" t="s">
        <v>335</v>
      </c>
      <c r="B689" s="323" t="s">
        <v>122</v>
      </c>
      <c r="C689" s="323" t="s">
        <v>439</v>
      </c>
      <c r="D689" s="323" t="s">
        <v>233</v>
      </c>
      <c r="E689" s="323"/>
      <c r="F689" s="323"/>
      <c r="G689" s="319">
        <f>G690+G715+G716</f>
        <v>3644495</v>
      </c>
      <c r="H689" s="319">
        <f>H690+H715+H716</f>
        <v>3453752.73</v>
      </c>
      <c r="I689" s="319">
        <f>I690+I715+I716</f>
        <v>1378388.6099999999</v>
      </c>
      <c r="J689" s="319">
        <f>J690+J715+J716</f>
        <v>190742.26999999993</v>
      </c>
    </row>
    <row r="690" spans="1:10" s="14" customFormat="1" ht="25.5">
      <c r="A690" s="113" t="s">
        <v>226</v>
      </c>
      <c r="B690" s="323" t="s">
        <v>122</v>
      </c>
      <c r="C690" s="323" t="s">
        <v>440</v>
      </c>
      <c r="D690" s="323" t="s">
        <v>28</v>
      </c>
      <c r="E690" s="320"/>
      <c r="F690" s="320"/>
      <c r="G690" s="307">
        <f>G691+G693+G696</f>
        <v>2075365</v>
      </c>
      <c r="H690" s="307">
        <f>H691+H693+H696</f>
        <v>2075364.12</v>
      </c>
      <c r="I690" s="307">
        <f>I691+I693+I696</f>
        <v>0</v>
      </c>
      <c r="J690" s="307">
        <f>J691+J693+J696</f>
        <v>0.8799999998882413</v>
      </c>
    </row>
    <row r="691" spans="1:10" s="14" customFormat="1" ht="12.75">
      <c r="A691" s="118" t="s">
        <v>29</v>
      </c>
      <c r="B691" s="376" t="s">
        <v>122</v>
      </c>
      <c r="C691" s="320" t="s">
        <v>440</v>
      </c>
      <c r="D691" s="376" t="s">
        <v>28</v>
      </c>
      <c r="E691" s="376" t="s">
        <v>30</v>
      </c>
      <c r="F691" s="320"/>
      <c r="G691" s="307">
        <f>G692</f>
        <v>0</v>
      </c>
      <c r="H691" s="307">
        <f>H692</f>
        <v>0</v>
      </c>
      <c r="I691" s="307">
        <f>I692</f>
        <v>0</v>
      </c>
      <c r="J691" s="307">
        <f>J692</f>
        <v>0</v>
      </c>
    </row>
    <row r="692" spans="1:11" s="14" customFormat="1" ht="12.75">
      <c r="A692" s="79" t="s">
        <v>356</v>
      </c>
      <c r="B692" s="320" t="s">
        <v>122</v>
      </c>
      <c r="C692" s="320" t="s">
        <v>440</v>
      </c>
      <c r="D692" s="320" t="s">
        <v>28</v>
      </c>
      <c r="E692" s="320" t="s">
        <v>30</v>
      </c>
      <c r="F692" s="320" t="s">
        <v>128</v>
      </c>
      <c r="G692" s="307">
        <v>0</v>
      </c>
      <c r="H692" s="307"/>
      <c r="I692" s="307"/>
      <c r="J692" s="133"/>
      <c r="K692" s="56"/>
    </row>
    <row r="693" spans="1:13" s="72" customFormat="1" ht="12.75">
      <c r="A693" s="118" t="s">
        <v>35</v>
      </c>
      <c r="B693" s="376" t="s">
        <v>122</v>
      </c>
      <c r="C693" s="320" t="s">
        <v>440</v>
      </c>
      <c r="D693" s="376" t="s">
        <v>28</v>
      </c>
      <c r="E693" s="376" t="s">
        <v>30</v>
      </c>
      <c r="F693" s="320"/>
      <c r="G693" s="307">
        <f>G694+G695</f>
        <v>2075365</v>
      </c>
      <c r="H693" s="307">
        <f>H694+H695</f>
        <v>2075364.12</v>
      </c>
      <c r="I693" s="307"/>
      <c r="J693" s="307">
        <f>J694+J695</f>
        <v>0.8799999998882413</v>
      </c>
      <c r="M693" s="84"/>
    </row>
    <row r="694" spans="1:13" s="72" customFormat="1" ht="25.5">
      <c r="A694" s="79" t="s">
        <v>336</v>
      </c>
      <c r="B694" s="320" t="s">
        <v>122</v>
      </c>
      <c r="C694" s="320" t="s">
        <v>440</v>
      </c>
      <c r="D694" s="320" t="s">
        <v>28</v>
      </c>
      <c r="E694" s="320" t="s">
        <v>30</v>
      </c>
      <c r="F694" s="320" t="s">
        <v>134</v>
      </c>
      <c r="G694" s="64">
        <f>1286803-753000+300000+255326+865496+120000+740</f>
        <v>2075365</v>
      </c>
      <c r="H694" s="307">
        <v>2075364.12</v>
      </c>
      <c r="I694" s="307">
        <f>200850+39364+82450+67600+102900+91540+98760+187000+106500+59000+224925+100935+107442+143179+387222.12+66567</f>
        <v>2066234.12</v>
      </c>
      <c r="J694" s="307">
        <f>G694-H694</f>
        <v>0.8799999998882413</v>
      </c>
      <c r="K694" s="143"/>
      <c r="M694" s="84"/>
    </row>
    <row r="695" spans="1:10" s="72" customFormat="1" ht="25.5">
      <c r="A695" s="79" t="s">
        <v>336</v>
      </c>
      <c r="B695" s="320" t="s">
        <v>122</v>
      </c>
      <c r="C695" s="320" t="s">
        <v>440</v>
      </c>
      <c r="D695" s="320" t="s">
        <v>44</v>
      </c>
      <c r="E695" s="320" t="s">
        <v>453</v>
      </c>
      <c r="F695" s="320" t="s">
        <v>134</v>
      </c>
      <c r="G695" s="307">
        <f>850000-847780-2220</f>
        <v>0</v>
      </c>
      <c r="H695" s="307"/>
      <c r="I695" s="307"/>
      <c r="J695" s="307">
        <f>G695-H695</f>
        <v>0</v>
      </c>
    </row>
    <row r="696" spans="1:10" s="129" customFormat="1" ht="12.75">
      <c r="A696" s="118" t="s">
        <v>35</v>
      </c>
      <c r="B696" s="376" t="s">
        <v>122</v>
      </c>
      <c r="C696" s="320" t="s">
        <v>440</v>
      </c>
      <c r="D696" s="376" t="s">
        <v>62</v>
      </c>
      <c r="E696" s="376" t="s">
        <v>453</v>
      </c>
      <c r="F696" s="376"/>
      <c r="G696" s="378">
        <f>G697</f>
        <v>0</v>
      </c>
      <c r="H696" s="378">
        <f>H697</f>
        <v>0</v>
      </c>
      <c r="I696" s="378">
        <f>I697</f>
        <v>0</v>
      </c>
      <c r="J696" s="378">
        <f>J697</f>
        <v>0</v>
      </c>
    </row>
    <row r="697" spans="1:10" s="72" customFormat="1" ht="12.75">
      <c r="A697" s="79" t="s">
        <v>194</v>
      </c>
      <c r="B697" s="320" t="s">
        <v>122</v>
      </c>
      <c r="C697" s="320" t="s">
        <v>440</v>
      </c>
      <c r="D697" s="320" t="s">
        <v>62</v>
      </c>
      <c r="E697" s="320" t="s">
        <v>453</v>
      </c>
      <c r="F697" s="320" t="s">
        <v>130</v>
      </c>
      <c r="G697" s="307">
        <v>0</v>
      </c>
      <c r="H697" s="307"/>
      <c r="I697" s="307"/>
      <c r="J697" s="382"/>
    </row>
    <row r="698" spans="1:10" s="72" customFormat="1" ht="25.5">
      <c r="A698" s="113" t="s">
        <v>237</v>
      </c>
      <c r="B698" s="323" t="s">
        <v>122</v>
      </c>
      <c r="C698" s="323" t="s">
        <v>440</v>
      </c>
      <c r="D698" s="323" t="s">
        <v>219</v>
      </c>
      <c r="E698" s="323"/>
      <c r="F698" s="323"/>
      <c r="G698" s="319">
        <f>G699</f>
        <v>2924783.12</v>
      </c>
      <c r="H698" s="319">
        <f>H699</f>
        <v>2772646.09</v>
      </c>
      <c r="I698" s="319">
        <f>I699</f>
        <v>2822141.09</v>
      </c>
      <c r="J698" s="319">
        <f>J699</f>
        <v>152137.03000000003</v>
      </c>
    </row>
    <row r="699" spans="1:10" s="72" customFormat="1" ht="25.5">
      <c r="A699" s="113" t="s">
        <v>226</v>
      </c>
      <c r="B699" s="323" t="s">
        <v>122</v>
      </c>
      <c r="C699" s="323" t="s">
        <v>440</v>
      </c>
      <c r="D699" s="323" t="s">
        <v>146</v>
      </c>
      <c r="E699" s="320"/>
      <c r="F699" s="320"/>
      <c r="G699" s="319">
        <f>G700+G702+G704+G708+G706</f>
        <v>2924783.12</v>
      </c>
      <c r="H699" s="319">
        <f>H700+H702+H704+H708+H706</f>
        <v>2772646.09</v>
      </c>
      <c r="I699" s="319">
        <f>I700+I702+I704+I708+I706</f>
        <v>2822141.09</v>
      </c>
      <c r="J699" s="319">
        <f>J700+J702+J704+J708+J706</f>
        <v>152137.03000000003</v>
      </c>
    </row>
    <row r="700" spans="1:10" s="72" customFormat="1" ht="12.75">
      <c r="A700" s="118" t="s">
        <v>20</v>
      </c>
      <c r="B700" s="376" t="s">
        <v>122</v>
      </c>
      <c r="C700" s="320" t="s">
        <v>440</v>
      </c>
      <c r="D700" s="376" t="s">
        <v>146</v>
      </c>
      <c r="E700" s="376" t="s">
        <v>21</v>
      </c>
      <c r="F700" s="320"/>
      <c r="G700" s="307">
        <f>G701</f>
        <v>0</v>
      </c>
      <c r="H700" s="307">
        <f>H701</f>
        <v>0</v>
      </c>
      <c r="I700" s="307">
        <f>I701</f>
        <v>0</v>
      </c>
      <c r="J700" s="307">
        <f>J701</f>
        <v>0</v>
      </c>
    </row>
    <row r="701" spans="1:10" s="72" customFormat="1" ht="25.5">
      <c r="A701" s="79" t="s">
        <v>337</v>
      </c>
      <c r="B701" s="320" t="s">
        <v>122</v>
      </c>
      <c r="C701" s="320" t="s">
        <v>440</v>
      </c>
      <c r="D701" s="320" t="s">
        <v>146</v>
      </c>
      <c r="E701" s="320" t="s">
        <v>21</v>
      </c>
      <c r="F701" s="320" t="s">
        <v>117</v>
      </c>
      <c r="G701" s="64">
        <f>559600-559600</f>
        <v>0</v>
      </c>
      <c r="H701" s="307"/>
      <c r="I701" s="307"/>
      <c r="J701" s="307">
        <f>G701-H701</f>
        <v>0</v>
      </c>
    </row>
    <row r="702" spans="1:10" s="72" customFormat="1" ht="12.75">
      <c r="A702" s="118" t="s">
        <v>29</v>
      </c>
      <c r="B702" s="376" t="s">
        <v>122</v>
      </c>
      <c r="C702" s="320" t="s">
        <v>440</v>
      </c>
      <c r="D702" s="376" t="s">
        <v>146</v>
      </c>
      <c r="E702" s="376" t="s">
        <v>30</v>
      </c>
      <c r="F702" s="376"/>
      <c r="G702" s="64">
        <f>G703</f>
        <v>65504</v>
      </c>
      <c r="H702" s="307">
        <f>H703</f>
        <v>65504</v>
      </c>
      <c r="I702" s="307">
        <f>I703</f>
        <v>65504</v>
      </c>
      <c r="J702" s="307">
        <f>J703</f>
        <v>0</v>
      </c>
    </row>
    <row r="703" spans="1:12" s="72" customFormat="1" ht="25.5">
      <c r="A703" s="79" t="s">
        <v>338</v>
      </c>
      <c r="B703" s="320" t="s">
        <v>122</v>
      </c>
      <c r="C703" s="320" t="s">
        <v>440</v>
      </c>
      <c r="D703" s="320" t="s">
        <v>146</v>
      </c>
      <c r="E703" s="320" t="s">
        <v>30</v>
      </c>
      <c r="F703" s="320" t="s">
        <v>128</v>
      </c>
      <c r="G703" s="64">
        <f>70000+753000+120000+35000-735197-120000-57299</f>
        <v>65504</v>
      </c>
      <c r="H703" s="307">
        <f>30504+35000</f>
        <v>65504</v>
      </c>
      <c r="I703" s="307">
        <f>30504+35000</f>
        <v>65504</v>
      </c>
      <c r="J703" s="307">
        <f>G703-H703</f>
        <v>0</v>
      </c>
      <c r="K703" s="229"/>
      <c r="L703" s="229"/>
    </row>
    <row r="704" spans="1:10" s="72" customFormat="1" ht="12.75">
      <c r="A704" s="118" t="s">
        <v>35</v>
      </c>
      <c r="B704" s="376" t="s">
        <v>122</v>
      </c>
      <c r="C704" s="320" t="s">
        <v>440</v>
      </c>
      <c r="D704" s="376" t="s">
        <v>146</v>
      </c>
      <c r="E704" s="376" t="s">
        <v>453</v>
      </c>
      <c r="F704" s="320"/>
      <c r="G704" s="64">
        <f>G705</f>
        <v>0</v>
      </c>
      <c r="H704" s="307">
        <f>H705</f>
        <v>0</v>
      </c>
      <c r="I704" s="307">
        <f>I705</f>
        <v>0</v>
      </c>
      <c r="J704" s="307">
        <f>J705</f>
        <v>0</v>
      </c>
    </row>
    <row r="705" spans="1:15" s="72" customFormat="1" ht="12.75">
      <c r="A705" s="79" t="s">
        <v>194</v>
      </c>
      <c r="B705" s="320" t="s">
        <v>122</v>
      </c>
      <c r="C705" s="320" t="s">
        <v>440</v>
      </c>
      <c r="D705" s="320" t="s">
        <v>146</v>
      </c>
      <c r="E705" s="320" t="s">
        <v>453</v>
      </c>
      <c r="F705" s="320" t="s">
        <v>130</v>
      </c>
      <c r="G705" s="64">
        <v>0</v>
      </c>
      <c r="H705" s="307"/>
      <c r="I705" s="307"/>
      <c r="J705" s="307">
        <f>G705-H705</f>
        <v>0</v>
      </c>
      <c r="K705" s="155"/>
      <c r="L705" s="143"/>
      <c r="M705" s="143"/>
      <c r="N705" s="143"/>
      <c r="O705" s="143"/>
    </row>
    <row r="706" spans="1:10" s="129" customFormat="1" ht="12.75">
      <c r="A706" s="118" t="s">
        <v>38</v>
      </c>
      <c r="B706" s="376" t="s">
        <v>122</v>
      </c>
      <c r="C706" s="320" t="s">
        <v>440</v>
      </c>
      <c r="D706" s="376" t="s">
        <v>146</v>
      </c>
      <c r="E706" s="376" t="s">
        <v>39</v>
      </c>
      <c r="F706" s="376"/>
      <c r="G706" s="283">
        <f>G707</f>
        <v>1005055.0599999999</v>
      </c>
      <c r="H706" s="378">
        <f>H707</f>
        <v>1005055.06</v>
      </c>
      <c r="I706" s="378">
        <f>I707</f>
        <v>1005055.06</v>
      </c>
      <c r="J706" s="378">
        <f>J707</f>
        <v>0</v>
      </c>
    </row>
    <row r="707" spans="1:13" s="72" customFormat="1" ht="12.75">
      <c r="A707" s="79" t="s">
        <v>138</v>
      </c>
      <c r="B707" s="320" t="s">
        <v>122</v>
      </c>
      <c r="C707" s="320" t="s">
        <v>440</v>
      </c>
      <c r="D707" s="320" t="s">
        <v>146</v>
      </c>
      <c r="E707" s="320" t="s">
        <v>39</v>
      </c>
      <c r="F707" s="320" t="s">
        <v>131</v>
      </c>
      <c r="G707" s="64">
        <f>1230197+159227.65-105000-912496+735197-102070.59</f>
        <v>1005055.0599999999</v>
      </c>
      <c r="H707" s="307">
        <f>200000+159227.65+645827.41</f>
        <v>1005055.06</v>
      </c>
      <c r="I707" s="307">
        <f>200000+159227.65+(648428.31-2600.9)</f>
        <v>1005055.06</v>
      </c>
      <c r="J707" s="307">
        <f>G707-H707</f>
        <v>0</v>
      </c>
      <c r="K707" s="143"/>
      <c r="M707" s="143"/>
    </row>
    <row r="708" spans="1:10" s="72" customFormat="1" ht="12.75">
      <c r="A708" s="109" t="s">
        <v>309</v>
      </c>
      <c r="B708" s="281" t="s">
        <v>122</v>
      </c>
      <c r="C708" s="320" t="s">
        <v>440</v>
      </c>
      <c r="D708" s="282" t="s">
        <v>146</v>
      </c>
      <c r="E708" s="282" t="s">
        <v>42</v>
      </c>
      <c r="F708" s="296"/>
      <c r="G708" s="300">
        <f>G710+G711+G709</f>
        <v>1854224.06</v>
      </c>
      <c r="H708" s="300">
        <f>H710+H711+H709</f>
        <v>1702087.03</v>
      </c>
      <c r="I708" s="300">
        <f>I710+I711+I709</f>
        <v>1751582.03</v>
      </c>
      <c r="J708" s="300">
        <f>J710+J711+J709</f>
        <v>152137.03000000003</v>
      </c>
    </row>
    <row r="709" spans="1:10" s="72" customFormat="1" ht="12.75">
      <c r="A709" s="21" t="s">
        <v>164</v>
      </c>
      <c r="B709" s="256" t="s">
        <v>122</v>
      </c>
      <c r="C709" s="320" t="s">
        <v>440</v>
      </c>
      <c r="D709" s="252" t="s">
        <v>146</v>
      </c>
      <c r="E709" s="252" t="s">
        <v>506</v>
      </c>
      <c r="F709" s="296" t="s">
        <v>132</v>
      </c>
      <c r="G709" s="64">
        <f>12990-12990</f>
        <v>0</v>
      </c>
      <c r="H709" s="64"/>
      <c r="I709" s="64"/>
      <c r="J709" s="307">
        <f>G709-H709</f>
        <v>0</v>
      </c>
    </row>
    <row r="710" spans="1:10" s="72" customFormat="1" ht="12.75">
      <c r="A710" s="21" t="s">
        <v>182</v>
      </c>
      <c r="B710" s="256" t="s">
        <v>122</v>
      </c>
      <c r="C710" s="320" t="s">
        <v>440</v>
      </c>
      <c r="D710" s="252" t="s">
        <v>146</v>
      </c>
      <c r="E710" s="252" t="s">
        <v>497</v>
      </c>
      <c r="F710" s="256" t="s">
        <v>133</v>
      </c>
      <c r="G710" s="64">
        <f>50000-22580</f>
        <v>27420</v>
      </c>
      <c r="H710" s="307">
        <v>27420</v>
      </c>
      <c r="I710" s="307">
        <f>27420</f>
        <v>27420</v>
      </c>
      <c r="J710" s="307">
        <f>G710-H710</f>
        <v>0</v>
      </c>
    </row>
    <row r="711" spans="1:11" s="72" customFormat="1" ht="12.75">
      <c r="A711" s="79" t="s">
        <v>194</v>
      </c>
      <c r="B711" s="256" t="s">
        <v>122</v>
      </c>
      <c r="C711" s="320" t="s">
        <v>440</v>
      </c>
      <c r="D711" s="252" t="s">
        <v>146</v>
      </c>
      <c r="E711" s="252" t="s">
        <v>498</v>
      </c>
      <c r="F711" s="256" t="s">
        <v>130</v>
      </c>
      <c r="G711" s="64">
        <f>1528000+130292.85+460292.62-150326+12000-12990+194939.59-334665-740</f>
        <v>1826804.06</v>
      </c>
      <c r="H711" s="307">
        <v>1674667.03</v>
      </c>
      <c r="I711" s="307">
        <f>100000+156699.93+139000.04+130292.85+460292.62+19116.5+169554.15+91014+50000+125726.1+32570.84+49495+200400</f>
        <v>1724162.03</v>
      </c>
      <c r="J711" s="307">
        <f>G711-H711</f>
        <v>152137.03000000003</v>
      </c>
      <c r="K711" s="153"/>
    </row>
    <row r="712" spans="1:10" s="72" customFormat="1" ht="25.5">
      <c r="A712" s="112" t="s">
        <v>314</v>
      </c>
      <c r="B712" s="323" t="s">
        <v>122</v>
      </c>
      <c r="C712" s="323" t="s">
        <v>440</v>
      </c>
      <c r="D712" s="323" t="s">
        <v>37</v>
      </c>
      <c r="E712" s="320"/>
      <c r="F712" s="320"/>
      <c r="G712" s="319">
        <f aca="true" t="shared" si="40" ref="G712:J713">G713</f>
        <v>80113.6</v>
      </c>
      <c r="H712" s="319">
        <f t="shared" si="40"/>
        <v>31200</v>
      </c>
      <c r="I712" s="319">
        <f t="shared" si="40"/>
        <v>31200</v>
      </c>
      <c r="J712" s="319">
        <f t="shared" si="40"/>
        <v>48913.600000000006</v>
      </c>
    </row>
    <row r="713" spans="1:10" s="72" customFormat="1" ht="12.75">
      <c r="A713" s="111" t="s">
        <v>35</v>
      </c>
      <c r="B713" s="376" t="s">
        <v>122</v>
      </c>
      <c r="C713" s="323" t="s">
        <v>440</v>
      </c>
      <c r="D713" s="376" t="s">
        <v>181</v>
      </c>
      <c r="E713" s="325" t="s">
        <v>453</v>
      </c>
      <c r="F713" s="325"/>
      <c r="G713" s="383">
        <f t="shared" si="40"/>
        <v>80113.6</v>
      </c>
      <c r="H713" s="383">
        <f t="shared" si="40"/>
        <v>31200</v>
      </c>
      <c r="I713" s="383">
        <f t="shared" si="40"/>
        <v>31200</v>
      </c>
      <c r="J713" s="383">
        <f t="shared" si="40"/>
        <v>48913.600000000006</v>
      </c>
    </row>
    <row r="714" spans="1:10" s="72" customFormat="1" ht="38.25">
      <c r="A714" s="71" t="s">
        <v>339</v>
      </c>
      <c r="B714" s="320" t="s">
        <v>122</v>
      </c>
      <c r="C714" s="323" t="s">
        <v>440</v>
      </c>
      <c r="D714" s="320" t="s">
        <v>181</v>
      </c>
      <c r="E714" s="320" t="s">
        <v>453</v>
      </c>
      <c r="F714" s="320" t="s">
        <v>134</v>
      </c>
      <c r="G714" s="64">
        <v>80113.6</v>
      </c>
      <c r="H714" s="307">
        <f>6000+10800+14400</f>
        <v>31200</v>
      </c>
      <c r="I714" s="307">
        <f>6000+10800+14400</f>
        <v>31200</v>
      </c>
      <c r="J714" s="307">
        <f>G714-H714</f>
        <v>48913.600000000006</v>
      </c>
    </row>
    <row r="715" spans="1:10" s="72" customFormat="1" ht="51">
      <c r="A715" s="164" t="s">
        <v>524</v>
      </c>
      <c r="B715" s="320" t="s">
        <v>122</v>
      </c>
      <c r="C715" s="323" t="s">
        <v>632</v>
      </c>
      <c r="D715" s="320" t="s">
        <v>146</v>
      </c>
      <c r="E715" s="320" t="s">
        <v>39</v>
      </c>
      <c r="F715" s="320" t="s">
        <v>131</v>
      </c>
      <c r="G715" s="64">
        <v>1500000</v>
      </c>
      <c r="H715" s="307">
        <v>1317661.96</v>
      </c>
      <c r="I715" s="307">
        <f>1322968.48-5306.52</f>
        <v>1317661.96</v>
      </c>
      <c r="J715" s="307">
        <f>G715-H715</f>
        <v>182338.04000000004</v>
      </c>
    </row>
    <row r="716" spans="1:10" s="72" customFormat="1" ht="51">
      <c r="A716" s="164" t="s">
        <v>525</v>
      </c>
      <c r="B716" s="320" t="s">
        <v>122</v>
      </c>
      <c r="C716" s="323" t="s">
        <v>633</v>
      </c>
      <c r="D716" s="320" t="s">
        <v>146</v>
      </c>
      <c r="E716" s="320" t="s">
        <v>39</v>
      </c>
      <c r="F716" s="320" t="s">
        <v>131</v>
      </c>
      <c r="G716" s="64">
        <v>69130</v>
      </c>
      <c r="H716" s="307">
        <v>60726.65</v>
      </c>
      <c r="I716" s="307">
        <f>60971.21-244.56</f>
        <v>60726.65</v>
      </c>
      <c r="J716" s="307">
        <f>G716-H716</f>
        <v>8403.349999999999</v>
      </c>
    </row>
    <row r="717" spans="1:10" s="72" customFormat="1" ht="12.75">
      <c r="A717" s="71" t="s">
        <v>533</v>
      </c>
      <c r="B717" s="320" t="s">
        <v>122</v>
      </c>
      <c r="C717" s="323" t="s">
        <v>534</v>
      </c>
      <c r="D717" s="320" t="s">
        <v>397</v>
      </c>
      <c r="E717" s="320" t="s">
        <v>535</v>
      </c>
      <c r="F717" s="320"/>
      <c r="G717" s="64"/>
      <c r="H717" s="307"/>
      <c r="I717" s="307"/>
      <c r="J717" s="307">
        <f>G717-H717</f>
        <v>0</v>
      </c>
    </row>
    <row r="718" spans="1:10" s="72" customFormat="1" ht="12.75">
      <c r="A718" s="46" t="s">
        <v>340</v>
      </c>
      <c r="B718" s="247" t="s">
        <v>141</v>
      </c>
      <c r="C718" s="247"/>
      <c r="D718" s="247"/>
      <c r="E718" s="247"/>
      <c r="F718" s="247"/>
      <c r="G718" s="52">
        <f>G720</f>
        <v>22626.24</v>
      </c>
      <c r="H718" s="52">
        <f>H720</f>
        <v>20690</v>
      </c>
      <c r="I718" s="52">
        <f>I720</f>
        <v>20690</v>
      </c>
      <c r="J718" s="52">
        <f>J720</f>
        <v>1936.2400000000016</v>
      </c>
    </row>
    <row r="719" spans="1:10" s="5" customFormat="1" ht="12.75">
      <c r="A719" s="58" t="s">
        <v>171</v>
      </c>
      <c r="B719" s="251"/>
      <c r="C719" s="251"/>
      <c r="D719" s="251"/>
      <c r="E719" s="251"/>
      <c r="F719" s="251"/>
      <c r="G719" s="64"/>
      <c r="H719" s="64"/>
      <c r="I719" s="64"/>
      <c r="J719" s="272"/>
    </row>
    <row r="720" spans="1:10" s="5" customFormat="1" ht="12.75">
      <c r="A720" s="31" t="s">
        <v>341</v>
      </c>
      <c r="B720" s="251" t="s">
        <v>143</v>
      </c>
      <c r="C720" s="251" t="s">
        <v>342</v>
      </c>
      <c r="D720" s="251"/>
      <c r="E720" s="251"/>
      <c r="F720" s="251"/>
      <c r="G720" s="59">
        <f>G721</f>
        <v>22626.24</v>
      </c>
      <c r="H720" s="59">
        <f>H721</f>
        <v>20690</v>
      </c>
      <c r="I720" s="59">
        <f>I721</f>
        <v>20690</v>
      </c>
      <c r="J720" s="59">
        <f>J721</f>
        <v>1936.2400000000016</v>
      </c>
    </row>
    <row r="721" spans="1:10" s="5" customFormat="1" ht="25.5">
      <c r="A721" s="113" t="s">
        <v>237</v>
      </c>
      <c r="B721" s="251" t="s">
        <v>143</v>
      </c>
      <c r="C721" s="251" t="s">
        <v>342</v>
      </c>
      <c r="D721" s="251" t="s">
        <v>219</v>
      </c>
      <c r="E721" s="251"/>
      <c r="F721" s="251"/>
      <c r="G721" s="59">
        <f>G722+G725</f>
        <v>22626.24</v>
      </c>
      <c r="H721" s="59">
        <f>H722+H725</f>
        <v>20690</v>
      </c>
      <c r="I721" s="59">
        <f>I722+I725</f>
        <v>20690</v>
      </c>
      <c r="J721" s="59">
        <f>J722+J725</f>
        <v>1936.2400000000016</v>
      </c>
    </row>
    <row r="722" spans="1:10" s="5" customFormat="1" ht="38.25">
      <c r="A722" s="31" t="s">
        <v>225</v>
      </c>
      <c r="B722" s="251" t="s">
        <v>143</v>
      </c>
      <c r="C722" s="251" t="s">
        <v>342</v>
      </c>
      <c r="D722" s="251" t="s">
        <v>62</v>
      </c>
      <c r="E722" s="251"/>
      <c r="F722" s="251"/>
      <c r="G722" s="59">
        <f>G723</f>
        <v>22626.24</v>
      </c>
      <c r="H722" s="59">
        <f aca="true" t="shared" si="41" ref="H722:J723">H723</f>
        <v>20690</v>
      </c>
      <c r="I722" s="59">
        <f t="shared" si="41"/>
        <v>20690</v>
      </c>
      <c r="J722" s="59">
        <f t="shared" si="41"/>
        <v>1936.2400000000016</v>
      </c>
    </row>
    <row r="723" spans="1:10" s="5" customFormat="1" ht="12.75">
      <c r="A723" s="109" t="s">
        <v>29</v>
      </c>
      <c r="B723" s="282" t="s">
        <v>143</v>
      </c>
      <c r="C723" s="282" t="s">
        <v>342</v>
      </c>
      <c r="D723" s="282" t="s">
        <v>62</v>
      </c>
      <c r="E723" s="282" t="s">
        <v>30</v>
      </c>
      <c r="F723" s="251"/>
      <c r="G723" s="64">
        <f>G724</f>
        <v>22626.24</v>
      </c>
      <c r="H723" s="64">
        <f t="shared" si="41"/>
        <v>20690</v>
      </c>
      <c r="I723" s="64">
        <f t="shared" si="41"/>
        <v>20690</v>
      </c>
      <c r="J723" s="64">
        <f t="shared" si="41"/>
        <v>1936.2400000000016</v>
      </c>
    </row>
    <row r="724" spans="1:10" s="14" customFormat="1" ht="12.75">
      <c r="A724" s="42" t="s">
        <v>114</v>
      </c>
      <c r="B724" s="256" t="s">
        <v>143</v>
      </c>
      <c r="C724" s="252" t="s">
        <v>342</v>
      </c>
      <c r="D724" s="256" t="s">
        <v>62</v>
      </c>
      <c r="E724" s="256" t="s">
        <v>30</v>
      </c>
      <c r="F724" s="256" t="s">
        <v>127</v>
      </c>
      <c r="G724" s="64">
        <v>22626.24</v>
      </c>
      <c r="H724" s="272">
        <f>19500+1190</f>
        <v>20690</v>
      </c>
      <c r="I724" s="272">
        <f>19500+1190</f>
        <v>20690</v>
      </c>
      <c r="J724" s="307">
        <f>G724-H724</f>
        <v>1936.2400000000016</v>
      </c>
    </row>
    <row r="725" spans="1:10" s="14" customFormat="1" ht="25.5">
      <c r="A725" s="122" t="s">
        <v>226</v>
      </c>
      <c r="B725" s="279" t="s">
        <v>143</v>
      </c>
      <c r="C725" s="251" t="s">
        <v>342</v>
      </c>
      <c r="D725" s="279" t="s">
        <v>146</v>
      </c>
      <c r="E725" s="279"/>
      <c r="F725" s="279"/>
      <c r="G725" s="313">
        <f>G726</f>
        <v>0</v>
      </c>
      <c r="H725" s="313">
        <f aca="true" t="shared" si="42" ref="H725:J726">H726</f>
        <v>0</v>
      </c>
      <c r="I725" s="313">
        <f t="shared" si="42"/>
        <v>0</v>
      </c>
      <c r="J725" s="313">
        <f t="shared" si="42"/>
        <v>0</v>
      </c>
    </row>
    <row r="726" spans="1:10" s="14" customFormat="1" ht="12.75">
      <c r="A726" s="121" t="s">
        <v>29</v>
      </c>
      <c r="B726" s="281" t="s">
        <v>143</v>
      </c>
      <c r="C726" s="282" t="s">
        <v>342</v>
      </c>
      <c r="D726" s="281" t="s">
        <v>146</v>
      </c>
      <c r="E726" s="281" t="s">
        <v>30</v>
      </c>
      <c r="F726" s="256"/>
      <c r="G726" s="272">
        <f>G727</f>
        <v>0</v>
      </c>
      <c r="H726" s="272">
        <f t="shared" si="42"/>
        <v>0</v>
      </c>
      <c r="I726" s="272">
        <f t="shared" si="42"/>
        <v>0</v>
      </c>
      <c r="J726" s="272">
        <f t="shared" si="42"/>
        <v>0</v>
      </c>
    </row>
    <row r="727" spans="1:10" s="14" customFormat="1" ht="25.5">
      <c r="A727" s="42" t="s">
        <v>343</v>
      </c>
      <c r="B727" s="256" t="s">
        <v>143</v>
      </c>
      <c r="C727" s="252" t="s">
        <v>342</v>
      </c>
      <c r="D727" s="256" t="s">
        <v>146</v>
      </c>
      <c r="E727" s="256" t="s">
        <v>30</v>
      </c>
      <c r="F727" s="256" t="s">
        <v>128</v>
      </c>
      <c r="G727" s="64"/>
      <c r="H727" s="272"/>
      <c r="I727" s="272"/>
      <c r="J727" s="307">
        <f>G727-H727</f>
        <v>0</v>
      </c>
    </row>
    <row r="728" spans="1:13" s="5" customFormat="1" ht="12.75">
      <c r="A728" s="44" t="s">
        <v>95</v>
      </c>
      <c r="B728" s="247" t="s">
        <v>140</v>
      </c>
      <c r="C728" s="247"/>
      <c r="D728" s="247"/>
      <c r="E728" s="248"/>
      <c r="F728" s="248"/>
      <c r="G728" s="52">
        <f>G730</f>
        <v>1379681.84</v>
      </c>
      <c r="H728" s="52">
        <f>H730</f>
        <v>1379681.84</v>
      </c>
      <c r="I728" s="52">
        <f>I730</f>
        <v>1379681.84</v>
      </c>
      <c r="J728" s="52">
        <f>J730</f>
        <v>0</v>
      </c>
      <c r="M728" s="82"/>
    </row>
    <row r="729" spans="1:10" s="5" customFormat="1" ht="12.75">
      <c r="A729" s="58" t="s">
        <v>171</v>
      </c>
      <c r="B729" s="251"/>
      <c r="C729" s="251"/>
      <c r="D729" s="251"/>
      <c r="E729" s="252"/>
      <c r="F729" s="252"/>
      <c r="G729" s="64"/>
      <c r="H729" s="64"/>
      <c r="I729" s="64"/>
      <c r="J729" s="317"/>
    </row>
    <row r="730" spans="1:10" s="5" customFormat="1" ht="12.75">
      <c r="A730" s="31" t="s">
        <v>344</v>
      </c>
      <c r="B730" s="251" t="s">
        <v>144</v>
      </c>
      <c r="C730" s="251" t="s">
        <v>345</v>
      </c>
      <c r="D730" s="251"/>
      <c r="E730" s="252"/>
      <c r="F730" s="252"/>
      <c r="G730" s="59">
        <f>G731+G734</f>
        <v>1379681.84</v>
      </c>
      <c r="H730" s="59">
        <f>H731+H734</f>
        <v>1379681.84</v>
      </c>
      <c r="I730" s="59">
        <f>I731+I734</f>
        <v>1379681.84</v>
      </c>
      <c r="J730" s="59">
        <f>J731+J734</f>
        <v>0</v>
      </c>
    </row>
    <row r="731" spans="1:10" s="5" customFormat="1" ht="25.5">
      <c r="A731" s="31" t="s">
        <v>346</v>
      </c>
      <c r="B731" s="251" t="s">
        <v>144</v>
      </c>
      <c r="C731" s="251" t="s">
        <v>347</v>
      </c>
      <c r="D731" s="251"/>
      <c r="E731" s="252"/>
      <c r="F731" s="252"/>
      <c r="G731" s="59">
        <f>G732</f>
        <v>0</v>
      </c>
      <c r="H731" s="59">
        <f aca="true" t="shared" si="43" ref="H731:J732">H732</f>
        <v>0</v>
      </c>
      <c r="I731" s="59">
        <f t="shared" si="43"/>
        <v>0</v>
      </c>
      <c r="J731" s="59">
        <f t="shared" si="43"/>
        <v>0</v>
      </c>
    </row>
    <row r="732" spans="1:10" s="14" customFormat="1" ht="12.75">
      <c r="A732" s="124" t="s">
        <v>78</v>
      </c>
      <c r="B732" s="281" t="s">
        <v>144</v>
      </c>
      <c r="C732" s="282" t="s">
        <v>347</v>
      </c>
      <c r="D732" s="281" t="s">
        <v>197</v>
      </c>
      <c r="E732" s="256"/>
      <c r="F732" s="256"/>
      <c r="G732" s="272">
        <f>G733</f>
        <v>0</v>
      </c>
      <c r="H732" s="272">
        <f t="shared" si="43"/>
        <v>0</v>
      </c>
      <c r="I732" s="272">
        <f t="shared" si="43"/>
        <v>0</v>
      </c>
      <c r="J732" s="272">
        <f t="shared" si="43"/>
        <v>0</v>
      </c>
    </row>
    <row r="733" spans="1:10" s="14" customFormat="1" ht="12.75">
      <c r="A733" s="29" t="s">
        <v>348</v>
      </c>
      <c r="B733" s="256" t="s">
        <v>144</v>
      </c>
      <c r="C733" s="252" t="s">
        <v>347</v>
      </c>
      <c r="D733" s="256" t="s">
        <v>197</v>
      </c>
      <c r="E733" s="256" t="s">
        <v>98</v>
      </c>
      <c r="F733" s="256"/>
      <c r="G733" s="64"/>
      <c r="H733" s="272"/>
      <c r="I733" s="272"/>
      <c r="J733" s="307">
        <f>G733-H733</f>
        <v>0</v>
      </c>
    </row>
    <row r="734" spans="1:10" s="14" customFormat="1" ht="51">
      <c r="A734" s="29" t="s">
        <v>349</v>
      </c>
      <c r="B734" s="279" t="s">
        <v>144</v>
      </c>
      <c r="C734" s="251" t="s">
        <v>350</v>
      </c>
      <c r="D734" s="256"/>
      <c r="E734" s="256"/>
      <c r="F734" s="256"/>
      <c r="G734" s="59">
        <f>G735</f>
        <v>1379681.84</v>
      </c>
      <c r="H734" s="313">
        <f>H735</f>
        <v>1379681.84</v>
      </c>
      <c r="I734" s="313">
        <f>I735</f>
        <v>1379681.84</v>
      </c>
      <c r="J734" s="313">
        <f>J735</f>
        <v>0</v>
      </c>
    </row>
    <row r="735" spans="1:10" s="14" customFormat="1" ht="12.75">
      <c r="A735" s="29" t="s">
        <v>351</v>
      </c>
      <c r="B735" s="256" t="s">
        <v>144</v>
      </c>
      <c r="C735" s="252" t="s">
        <v>350</v>
      </c>
      <c r="D735" s="256" t="s">
        <v>150</v>
      </c>
      <c r="E735" s="256"/>
      <c r="F735" s="256"/>
      <c r="G735" s="64">
        <f>G736+G737</f>
        <v>1379681.84</v>
      </c>
      <c r="H735" s="272">
        <f>H736+H737</f>
        <v>1379681.84</v>
      </c>
      <c r="I735" s="272">
        <f>I736+I737</f>
        <v>1379681.84</v>
      </c>
      <c r="J735" s="272">
        <f>J736+J737</f>
        <v>0</v>
      </c>
    </row>
    <row r="736" spans="1:10" s="14" customFormat="1" ht="38.25">
      <c r="A736" s="29" t="s">
        <v>352</v>
      </c>
      <c r="B736" s="256" t="s">
        <v>144</v>
      </c>
      <c r="C736" s="252" t="s">
        <v>350</v>
      </c>
      <c r="D736" s="256" t="s">
        <v>150</v>
      </c>
      <c r="E736" s="256" t="s">
        <v>98</v>
      </c>
      <c r="F736" s="256"/>
      <c r="G736" s="64">
        <v>1379681.84</v>
      </c>
      <c r="H736" s="272">
        <v>1379681.84</v>
      </c>
      <c r="I736" s="272">
        <v>1379681.84</v>
      </c>
      <c r="J736" s="307">
        <f>G736-H736</f>
        <v>0</v>
      </c>
    </row>
    <row r="737" spans="1:10" s="14" customFormat="1" ht="25.5">
      <c r="A737" s="29" t="s">
        <v>512</v>
      </c>
      <c r="B737" s="256" t="s">
        <v>144</v>
      </c>
      <c r="C737" s="252" t="s">
        <v>369</v>
      </c>
      <c r="D737" s="256" t="s">
        <v>150</v>
      </c>
      <c r="E737" s="256" t="s">
        <v>98</v>
      </c>
      <c r="F737" s="256"/>
      <c r="G737" s="64"/>
      <c r="H737" s="272"/>
      <c r="I737" s="272"/>
      <c r="J737" s="307">
        <f>G737-H737</f>
        <v>0</v>
      </c>
    </row>
    <row r="738" spans="1:11" s="5" customFormat="1" ht="15.75">
      <c r="A738" s="47" t="s">
        <v>100</v>
      </c>
      <c r="B738" s="388"/>
      <c r="C738" s="388"/>
      <c r="D738" s="388"/>
      <c r="E738" s="388"/>
      <c r="F738" s="388"/>
      <c r="G738" s="339">
        <f>G728+G718+G686+G633+G587+G556+G421+G347+G299+G262+G13+G624</f>
        <v>332537808.23</v>
      </c>
      <c r="H738" s="339">
        <f>H728+H718+H686+H633+H587+H556+H421+H347+H299+H262+H13+H624</f>
        <v>264716486.08</v>
      </c>
      <c r="I738" s="339">
        <f>I728+I718+I686+I633+I587+I556+I421+I347+I299+I262+I13+I624</f>
        <v>291575905.46</v>
      </c>
      <c r="J738" s="339">
        <f>J728+J718+J686+J633+J587+J556+J421+J347+J299+J262+J13+J624</f>
        <v>67821322.15</v>
      </c>
      <c r="K738" s="76"/>
    </row>
    <row r="739" spans="1:10" s="9" customFormat="1" ht="15.75">
      <c r="A739" s="40"/>
      <c r="B739" s="389"/>
      <c r="C739" s="389"/>
      <c r="D739" s="389"/>
      <c r="E739" s="389"/>
      <c r="F739" s="389"/>
      <c r="G739" s="316"/>
      <c r="H739" s="316"/>
      <c r="I739" s="316"/>
      <c r="J739" s="333"/>
    </row>
    <row r="740" spans="1:10" s="9" customFormat="1" ht="47.25" customHeight="1">
      <c r="A740" s="15"/>
      <c r="B740" s="16"/>
      <c r="C740" s="16"/>
      <c r="D740" s="50"/>
      <c r="E740" s="50"/>
      <c r="F740" s="50"/>
      <c r="G740" s="70"/>
      <c r="H740" s="70"/>
      <c r="I740" s="70"/>
      <c r="J740" s="74"/>
    </row>
    <row r="741" spans="1:10" s="9" customFormat="1" ht="15.75">
      <c r="A741" s="15"/>
      <c r="B741" s="16"/>
      <c r="C741" s="16"/>
      <c r="D741" s="16"/>
      <c r="E741" s="16"/>
      <c r="F741" s="16"/>
      <c r="G741" s="125"/>
      <c r="H741" s="172"/>
      <c r="I741" s="125"/>
      <c r="J741" s="74"/>
    </row>
    <row r="742" spans="1:10" s="9" customFormat="1" ht="15.75">
      <c r="A742" s="15"/>
      <c r="B742" s="16"/>
      <c r="C742" s="16"/>
      <c r="D742" s="50"/>
      <c r="E742" s="168"/>
      <c r="F742" s="50"/>
      <c r="G742" s="172"/>
      <c r="H742" s="70"/>
      <c r="I742" s="70"/>
      <c r="J742" s="158"/>
    </row>
    <row r="743" spans="1:10" s="9" customFormat="1" ht="15.75">
      <c r="A743" s="15"/>
      <c r="B743" s="16"/>
      <c r="C743" s="16"/>
      <c r="D743" s="16"/>
      <c r="E743" s="16"/>
      <c r="F743" s="16"/>
      <c r="G743" s="70"/>
      <c r="H743" s="70"/>
      <c r="I743" s="70"/>
      <c r="J743" s="74"/>
    </row>
    <row r="744" spans="1:10" s="9" customFormat="1" ht="15.75">
      <c r="A744" s="15"/>
      <c r="B744" s="16"/>
      <c r="C744" s="16"/>
      <c r="D744" s="16"/>
      <c r="E744" s="405"/>
      <c r="F744" s="405"/>
      <c r="G744" s="70"/>
      <c r="H744" s="70"/>
      <c r="I744" s="70"/>
      <c r="J744" s="74"/>
    </row>
    <row r="745" spans="1:10" s="9" customFormat="1" ht="15.75">
      <c r="A745" s="15"/>
      <c r="B745" s="16"/>
      <c r="C745" s="16"/>
      <c r="D745" s="16"/>
      <c r="E745" s="16"/>
      <c r="F745" s="16"/>
      <c r="G745" s="70"/>
      <c r="H745" s="70"/>
      <c r="I745" s="70"/>
      <c r="J745" s="74"/>
    </row>
    <row r="746" spans="1:10" s="9" customFormat="1" ht="15.75">
      <c r="A746" s="17"/>
      <c r="B746" s="16"/>
      <c r="C746" s="16"/>
      <c r="D746" s="16"/>
      <c r="E746" s="16"/>
      <c r="F746" s="16"/>
      <c r="G746" s="70"/>
      <c r="H746" s="70"/>
      <c r="I746" s="70"/>
      <c r="J746" s="74"/>
    </row>
    <row r="747" spans="1:10" s="9" customFormat="1" ht="15.75">
      <c r="A747" s="15"/>
      <c r="B747" s="16"/>
      <c r="C747" s="16"/>
      <c r="D747" s="16"/>
      <c r="E747" s="16"/>
      <c r="F747" s="16"/>
      <c r="G747" s="70"/>
      <c r="H747" s="70"/>
      <c r="I747" s="70"/>
      <c r="J747" s="74"/>
    </row>
    <row r="748" spans="1:10" s="9" customFormat="1" ht="15.75">
      <c r="A748" s="18"/>
      <c r="B748" s="16"/>
      <c r="C748" s="16"/>
      <c r="D748" s="16"/>
      <c r="E748" s="16"/>
      <c r="F748" s="16"/>
      <c r="G748" s="70"/>
      <c r="H748" s="70"/>
      <c r="I748" s="70"/>
      <c r="J748" s="74"/>
    </row>
    <row r="749" spans="1:10" s="9" customFormat="1" ht="12.75">
      <c r="A749" s="18"/>
      <c r="B749" s="19"/>
      <c r="C749" s="19"/>
      <c r="D749" s="19"/>
      <c r="E749" s="19"/>
      <c r="F749" s="19"/>
      <c r="G749" s="66"/>
      <c r="H749" s="66"/>
      <c r="I749" s="66"/>
      <c r="J749" s="74"/>
    </row>
    <row r="750" spans="7:9" ht="12.75">
      <c r="G750" s="66"/>
      <c r="H750" s="66"/>
      <c r="I750" s="66"/>
    </row>
    <row r="751" spans="7:9" ht="12.75">
      <c r="G751" s="66"/>
      <c r="H751" s="66"/>
      <c r="I751" s="66"/>
    </row>
    <row r="752" spans="7:9" ht="12.75">
      <c r="G752" s="66"/>
      <c r="H752" s="66"/>
      <c r="I752" s="66"/>
    </row>
    <row r="753" spans="7:9" ht="12.75">
      <c r="G753" s="66"/>
      <c r="H753" s="66"/>
      <c r="I753" s="66"/>
    </row>
    <row r="754" spans="7:9" ht="12.75">
      <c r="G754" s="66"/>
      <c r="H754" s="66"/>
      <c r="I754" s="66"/>
    </row>
    <row r="755" spans="7:9" ht="12.75">
      <c r="G755" s="66"/>
      <c r="H755" s="66"/>
      <c r="I755" s="66"/>
    </row>
    <row r="756" spans="7:9" ht="12.75">
      <c r="G756" s="66"/>
      <c r="H756" s="66"/>
      <c r="I756" s="66"/>
    </row>
    <row r="757" spans="7:9" ht="12.75">
      <c r="G757" s="66"/>
      <c r="H757" s="66"/>
      <c r="I757" s="66"/>
    </row>
    <row r="758" spans="7:9" ht="12.75">
      <c r="G758" s="66"/>
      <c r="H758" s="66"/>
      <c r="I758" s="66"/>
    </row>
    <row r="759" spans="7:9" ht="12.75">
      <c r="G759" s="66"/>
      <c r="H759" s="66"/>
      <c r="I759" s="66"/>
    </row>
    <row r="760" spans="7:9" ht="12.75">
      <c r="G760" s="66"/>
      <c r="H760" s="66"/>
      <c r="I760" s="66"/>
    </row>
    <row r="761" spans="7:9" ht="12.75">
      <c r="G761" s="66"/>
      <c r="H761" s="66"/>
      <c r="I761" s="66"/>
    </row>
    <row r="762" spans="7:9" ht="12.75">
      <c r="G762" s="66"/>
      <c r="H762" s="66"/>
      <c r="I762" s="66"/>
    </row>
    <row r="763" spans="7:9" ht="12.75">
      <c r="G763" s="66"/>
      <c r="H763" s="66"/>
      <c r="I763" s="66"/>
    </row>
    <row r="764" spans="7:9" ht="12.75">
      <c r="G764" s="66"/>
      <c r="H764" s="66"/>
      <c r="I764" s="66"/>
    </row>
    <row r="765" spans="7:9" ht="12.75">
      <c r="G765" s="66"/>
      <c r="H765" s="66"/>
      <c r="I765" s="66"/>
    </row>
    <row r="766" spans="7:9" ht="12.75">
      <c r="G766" s="66"/>
      <c r="H766" s="66"/>
      <c r="I766" s="66"/>
    </row>
    <row r="767" spans="7:9" ht="12.75">
      <c r="G767" s="66"/>
      <c r="H767" s="66"/>
      <c r="I767" s="66"/>
    </row>
    <row r="768" spans="7:9" ht="12.75">
      <c r="G768" s="66"/>
      <c r="H768" s="66"/>
      <c r="I768" s="66"/>
    </row>
    <row r="769" spans="7:9" ht="12.75">
      <c r="G769" s="66"/>
      <c r="H769" s="66"/>
      <c r="I769" s="66"/>
    </row>
    <row r="770" spans="7:9" ht="12.75">
      <c r="G770" s="66"/>
      <c r="H770" s="66"/>
      <c r="I770" s="66"/>
    </row>
    <row r="771" spans="7:9" ht="12.75">
      <c r="G771" s="66"/>
      <c r="H771" s="66"/>
      <c r="I771" s="66"/>
    </row>
    <row r="772" spans="7:9" ht="12.75">
      <c r="G772" s="66"/>
      <c r="H772" s="66"/>
      <c r="I772" s="66"/>
    </row>
    <row r="773" spans="7:9" ht="12.75">
      <c r="G773" s="66"/>
      <c r="H773" s="66"/>
      <c r="I773" s="66"/>
    </row>
    <row r="774" spans="7:9" ht="12.75">
      <c r="G774" s="66"/>
      <c r="H774" s="66"/>
      <c r="I774" s="66"/>
    </row>
    <row r="775" spans="7:9" ht="12.75">
      <c r="G775" s="66"/>
      <c r="H775" s="66"/>
      <c r="I775" s="66"/>
    </row>
    <row r="776" spans="7:9" ht="12.75">
      <c r="G776" s="66"/>
      <c r="H776" s="66"/>
      <c r="I776" s="66"/>
    </row>
    <row r="777" spans="7:9" ht="12.75">
      <c r="G777" s="66"/>
      <c r="H777" s="66"/>
      <c r="I777" s="66"/>
    </row>
    <row r="778" spans="7:9" ht="12.75">
      <c r="G778" s="66"/>
      <c r="H778" s="66"/>
      <c r="I778" s="66"/>
    </row>
    <row r="779" spans="7:9" ht="12.75">
      <c r="G779" s="66"/>
      <c r="H779" s="66"/>
      <c r="I779" s="66"/>
    </row>
    <row r="780" spans="7:9" ht="12.75">
      <c r="G780" s="66"/>
      <c r="H780" s="66"/>
      <c r="I780" s="66"/>
    </row>
    <row r="781" spans="7:9" ht="12.75">
      <c r="G781" s="66"/>
      <c r="H781" s="66"/>
      <c r="I781" s="66"/>
    </row>
    <row r="782" spans="7:9" ht="12.75">
      <c r="G782" s="66"/>
      <c r="H782" s="66"/>
      <c r="I782" s="66"/>
    </row>
    <row r="783" spans="7:9" ht="12.75">
      <c r="G783" s="66"/>
      <c r="H783" s="66"/>
      <c r="I783" s="66"/>
    </row>
    <row r="784" spans="7:9" ht="12.75">
      <c r="G784" s="66"/>
      <c r="H784" s="66"/>
      <c r="I784" s="66"/>
    </row>
    <row r="785" spans="7:9" ht="12.75">
      <c r="G785" s="66"/>
      <c r="H785" s="66"/>
      <c r="I785" s="66"/>
    </row>
    <row r="786" spans="7:9" ht="12.75">
      <c r="G786" s="66"/>
      <c r="H786" s="66"/>
      <c r="I786" s="66"/>
    </row>
    <row r="787" spans="7:9" ht="12.75">
      <c r="G787" s="66"/>
      <c r="H787" s="66"/>
      <c r="I787" s="66"/>
    </row>
    <row r="788" spans="7:9" ht="12.75">
      <c r="G788" s="66"/>
      <c r="H788" s="66"/>
      <c r="I788" s="66"/>
    </row>
    <row r="789" spans="7:9" ht="12.75">
      <c r="G789" s="66"/>
      <c r="H789" s="66"/>
      <c r="I789" s="66"/>
    </row>
    <row r="790" spans="7:9" ht="12.75">
      <c r="G790" s="66"/>
      <c r="H790" s="66"/>
      <c r="I790" s="66"/>
    </row>
    <row r="791" spans="7:9" ht="12.75">
      <c r="G791" s="66"/>
      <c r="H791" s="66"/>
      <c r="I791" s="66"/>
    </row>
    <row r="792" spans="7:9" ht="12.75">
      <c r="G792" s="66"/>
      <c r="H792" s="66"/>
      <c r="I792" s="66"/>
    </row>
    <row r="793" spans="7:9" ht="12.75">
      <c r="G793" s="66"/>
      <c r="H793" s="66"/>
      <c r="I793" s="66"/>
    </row>
    <row r="794" spans="7:9" ht="12.75">
      <c r="G794" s="66"/>
      <c r="H794" s="66"/>
      <c r="I794" s="66"/>
    </row>
    <row r="795" spans="7:9" ht="12.75">
      <c r="G795" s="66"/>
      <c r="H795" s="66"/>
      <c r="I795" s="66"/>
    </row>
    <row r="796" spans="7:9" ht="12.75">
      <c r="G796" s="66"/>
      <c r="H796" s="66"/>
      <c r="I796" s="66"/>
    </row>
    <row r="797" spans="7:9" ht="12.75">
      <c r="G797" s="66"/>
      <c r="H797" s="66"/>
      <c r="I797" s="66"/>
    </row>
    <row r="798" spans="7:9" ht="12.75">
      <c r="G798" s="66"/>
      <c r="H798" s="66"/>
      <c r="I798" s="66"/>
    </row>
    <row r="799" spans="7:9" ht="12.75">
      <c r="G799" s="66"/>
      <c r="H799" s="66"/>
      <c r="I799" s="66"/>
    </row>
    <row r="800" spans="7:9" ht="12.75">
      <c r="G800" s="66"/>
      <c r="H800" s="66"/>
      <c r="I800" s="66"/>
    </row>
    <row r="801" spans="7:9" ht="12.75">
      <c r="G801" s="66"/>
      <c r="H801" s="66"/>
      <c r="I801" s="66"/>
    </row>
    <row r="802" spans="7:9" ht="12.75">
      <c r="G802" s="66"/>
      <c r="H802" s="66"/>
      <c r="I802" s="66"/>
    </row>
    <row r="803" spans="7:9" ht="12.75">
      <c r="G803" s="66"/>
      <c r="H803" s="66"/>
      <c r="I803" s="66"/>
    </row>
    <row r="804" spans="7:9" ht="12.75">
      <c r="G804" s="66"/>
      <c r="H804" s="66"/>
      <c r="I804" s="66"/>
    </row>
    <row r="805" spans="7:9" ht="12.75">
      <c r="G805" s="66"/>
      <c r="H805" s="66"/>
      <c r="I805" s="66"/>
    </row>
    <row r="806" spans="7:9" ht="12.75">
      <c r="G806" s="66"/>
      <c r="H806" s="66"/>
      <c r="I806" s="66"/>
    </row>
    <row r="807" spans="7:9" ht="12.75">
      <c r="G807" s="66"/>
      <c r="H807" s="66"/>
      <c r="I807" s="66"/>
    </row>
    <row r="808" spans="7:9" ht="12.75">
      <c r="G808" s="66"/>
      <c r="H808" s="66"/>
      <c r="I808" s="66"/>
    </row>
    <row r="809" spans="7:9" ht="12.75">
      <c r="G809" s="66"/>
      <c r="H809" s="66"/>
      <c r="I809" s="66"/>
    </row>
    <row r="810" spans="7:9" ht="12.75">
      <c r="G810" s="66"/>
      <c r="H810" s="66"/>
      <c r="I810" s="66"/>
    </row>
    <row r="811" spans="7:9" ht="12.75">
      <c r="G811" s="66"/>
      <c r="H811" s="66"/>
      <c r="I811" s="66"/>
    </row>
    <row r="812" spans="7:9" ht="12.75">
      <c r="G812" s="66"/>
      <c r="H812" s="66"/>
      <c r="I812" s="66"/>
    </row>
    <row r="813" spans="7:9" ht="12.75">
      <c r="G813" s="66"/>
      <c r="H813" s="66"/>
      <c r="I813" s="66"/>
    </row>
    <row r="814" spans="7:9" ht="12.75">
      <c r="G814" s="66"/>
      <c r="H814" s="66"/>
      <c r="I814" s="66"/>
    </row>
    <row r="815" spans="7:9" ht="12.75">
      <c r="G815" s="66"/>
      <c r="H815" s="66"/>
      <c r="I815" s="66"/>
    </row>
    <row r="816" spans="7:9" ht="12.75">
      <c r="G816" s="66"/>
      <c r="H816" s="66"/>
      <c r="I816" s="66"/>
    </row>
    <row r="817" spans="7:9" ht="12.75">
      <c r="G817" s="66"/>
      <c r="H817" s="66"/>
      <c r="I817" s="66"/>
    </row>
    <row r="818" spans="7:9" ht="12.75">
      <c r="G818" s="66"/>
      <c r="H818" s="66"/>
      <c r="I818" s="66"/>
    </row>
    <row r="819" spans="7:9" ht="12.75">
      <c r="G819" s="66"/>
      <c r="H819" s="66"/>
      <c r="I819" s="66"/>
    </row>
    <row r="820" spans="7:9" ht="12.75">
      <c r="G820" s="66"/>
      <c r="H820" s="66"/>
      <c r="I820" s="66"/>
    </row>
    <row r="821" spans="7:9" ht="12.75">
      <c r="G821" s="66"/>
      <c r="H821" s="66"/>
      <c r="I821" s="66"/>
    </row>
    <row r="822" spans="7:9" ht="12.75">
      <c r="G822" s="66"/>
      <c r="H822" s="66"/>
      <c r="I822" s="66"/>
    </row>
    <row r="823" spans="7:9" ht="12.75">
      <c r="G823" s="66"/>
      <c r="H823" s="66"/>
      <c r="I823" s="66"/>
    </row>
    <row r="824" spans="7:9" ht="12.75">
      <c r="G824" s="66"/>
      <c r="H824" s="66"/>
      <c r="I824" s="66"/>
    </row>
    <row r="825" spans="7:9" ht="12.75">
      <c r="G825" s="66"/>
      <c r="H825" s="66"/>
      <c r="I825" s="66"/>
    </row>
    <row r="826" spans="7:9" ht="12.75">
      <c r="G826" s="66"/>
      <c r="H826" s="66"/>
      <c r="I826" s="66"/>
    </row>
    <row r="827" spans="7:9" ht="12.75">
      <c r="G827" s="66"/>
      <c r="H827" s="66"/>
      <c r="I827" s="66"/>
    </row>
    <row r="828" spans="7:9" ht="12.75">
      <c r="G828" s="66"/>
      <c r="H828" s="66"/>
      <c r="I828" s="66"/>
    </row>
    <row r="829" spans="7:9" ht="12.75">
      <c r="G829" s="66"/>
      <c r="H829" s="66"/>
      <c r="I829" s="66"/>
    </row>
    <row r="830" spans="7:9" ht="12.75">
      <c r="G830" s="66"/>
      <c r="H830" s="66"/>
      <c r="I830" s="66"/>
    </row>
    <row r="831" spans="7:9" ht="12.75">
      <c r="G831" s="66"/>
      <c r="H831" s="66"/>
      <c r="I831" s="66"/>
    </row>
    <row r="832" spans="7:9" ht="12.75">
      <c r="G832" s="66"/>
      <c r="H832" s="66"/>
      <c r="I832" s="66"/>
    </row>
    <row r="833" spans="7:9" ht="12.75">
      <c r="G833" s="66"/>
      <c r="H833" s="66"/>
      <c r="I833" s="66"/>
    </row>
    <row r="834" spans="7:9" ht="12.75">
      <c r="G834" s="66"/>
      <c r="H834" s="66"/>
      <c r="I834" s="66"/>
    </row>
    <row r="835" spans="7:9" ht="12.75">
      <c r="G835" s="66"/>
      <c r="H835" s="66"/>
      <c r="I835" s="66"/>
    </row>
    <row r="836" spans="7:9" ht="12.75">
      <c r="G836" s="66"/>
      <c r="H836" s="66"/>
      <c r="I836" s="66"/>
    </row>
    <row r="837" spans="7:9" ht="12.75">
      <c r="G837" s="66"/>
      <c r="H837" s="66"/>
      <c r="I837" s="66"/>
    </row>
    <row r="838" spans="7:9" ht="12.75">
      <c r="G838" s="66"/>
      <c r="H838" s="66"/>
      <c r="I838" s="66"/>
    </row>
    <row r="839" spans="7:9" ht="12.75">
      <c r="G839" s="66"/>
      <c r="H839" s="66"/>
      <c r="I839" s="66"/>
    </row>
    <row r="840" spans="7:9" ht="12.75">
      <c r="G840" s="66"/>
      <c r="H840" s="66"/>
      <c r="I840" s="66"/>
    </row>
    <row r="841" spans="7:9" ht="12.75">
      <c r="G841" s="66"/>
      <c r="H841" s="66"/>
      <c r="I841" s="66"/>
    </row>
    <row r="842" spans="7:9" ht="12.75">
      <c r="G842" s="66"/>
      <c r="H842" s="66"/>
      <c r="I842" s="66"/>
    </row>
    <row r="843" spans="7:9" ht="12.75">
      <c r="G843" s="66"/>
      <c r="H843" s="66"/>
      <c r="I843" s="66"/>
    </row>
    <row r="844" spans="7:9" ht="12.75">
      <c r="G844" s="66"/>
      <c r="H844" s="66"/>
      <c r="I844" s="66"/>
    </row>
    <row r="845" spans="7:9" ht="12.75">
      <c r="G845" s="66"/>
      <c r="H845" s="66"/>
      <c r="I845" s="66"/>
    </row>
    <row r="846" spans="7:9" ht="12.75">
      <c r="G846" s="66"/>
      <c r="H846" s="66"/>
      <c r="I846" s="66"/>
    </row>
    <row r="847" spans="7:9" ht="12.75">
      <c r="G847" s="66"/>
      <c r="H847" s="66"/>
      <c r="I847" s="66"/>
    </row>
    <row r="848" spans="7:9" ht="12.75">
      <c r="G848" s="66"/>
      <c r="H848" s="66"/>
      <c r="I848" s="66"/>
    </row>
    <row r="849" spans="7:9" ht="12.75">
      <c r="G849" s="66"/>
      <c r="H849" s="66"/>
      <c r="I849" s="66"/>
    </row>
    <row r="850" spans="7:9" ht="12.75">
      <c r="G850" s="66"/>
      <c r="H850" s="66"/>
      <c r="I850" s="66"/>
    </row>
    <row r="851" spans="7:9" ht="12.75">
      <c r="G851" s="66"/>
      <c r="H851" s="66"/>
      <c r="I851" s="66"/>
    </row>
    <row r="852" spans="7:9" ht="12.75">
      <c r="G852" s="66"/>
      <c r="H852" s="66"/>
      <c r="I852" s="66"/>
    </row>
    <row r="853" spans="7:9" ht="12.75">
      <c r="G853" s="66"/>
      <c r="H853" s="66"/>
      <c r="I853" s="66"/>
    </row>
    <row r="854" spans="7:9" ht="12.75">
      <c r="G854" s="66"/>
      <c r="H854" s="66"/>
      <c r="I854" s="66"/>
    </row>
    <row r="855" spans="7:9" ht="12.75">
      <c r="G855" s="66"/>
      <c r="H855" s="66"/>
      <c r="I855" s="66"/>
    </row>
    <row r="856" spans="7:9" ht="12.75">
      <c r="G856" s="66"/>
      <c r="H856" s="66"/>
      <c r="I856" s="66"/>
    </row>
    <row r="857" spans="7:9" ht="12.75">
      <c r="G857" s="66"/>
      <c r="H857" s="66"/>
      <c r="I857" s="66"/>
    </row>
    <row r="858" spans="7:9" ht="12.75">
      <c r="G858" s="66"/>
      <c r="H858" s="66"/>
      <c r="I858" s="66"/>
    </row>
    <row r="859" spans="7:9" ht="12.75">
      <c r="G859" s="66"/>
      <c r="H859" s="66"/>
      <c r="I859" s="66"/>
    </row>
    <row r="860" spans="7:9" ht="12.75">
      <c r="G860" s="66"/>
      <c r="H860" s="66"/>
      <c r="I860" s="66"/>
    </row>
    <row r="861" spans="7:9" ht="12.75">
      <c r="G861" s="66"/>
      <c r="H861" s="66"/>
      <c r="I861" s="66"/>
    </row>
    <row r="862" spans="7:9" ht="12.75">
      <c r="G862" s="66"/>
      <c r="H862" s="66"/>
      <c r="I862" s="66"/>
    </row>
    <row r="863" spans="7:9" ht="12.75">
      <c r="G863" s="66"/>
      <c r="H863" s="66"/>
      <c r="I863" s="66"/>
    </row>
    <row r="864" spans="7:9" ht="12.75">
      <c r="G864" s="66"/>
      <c r="H864" s="66"/>
      <c r="I864" s="66"/>
    </row>
    <row r="865" spans="7:9" ht="12.75">
      <c r="G865" s="66"/>
      <c r="H865" s="66"/>
      <c r="I865" s="66"/>
    </row>
    <row r="866" spans="7:9" ht="12.75">
      <c r="G866" s="66"/>
      <c r="H866" s="66"/>
      <c r="I866" s="66"/>
    </row>
    <row r="867" spans="7:9" ht="12.75">
      <c r="G867" s="66"/>
      <c r="H867" s="66"/>
      <c r="I867" s="66"/>
    </row>
    <row r="868" spans="7:9" ht="12.75">
      <c r="G868" s="66"/>
      <c r="H868" s="66"/>
      <c r="I868" s="66"/>
    </row>
    <row r="869" spans="7:9" ht="12.75">
      <c r="G869" s="66"/>
      <c r="H869" s="66"/>
      <c r="I869" s="66"/>
    </row>
    <row r="870" spans="7:9" ht="12.75">
      <c r="G870" s="66"/>
      <c r="H870" s="66"/>
      <c r="I870" s="66"/>
    </row>
    <row r="871" spans="7:9" ht="12.75">
      <c r="G871" s="66"/>
      <c r="H871" s="66"/>
      <c r="I871" s="66"/>
    </row>
    <row r="872" spans="7:9" ht="12.75">
      <c r="G872" s="66"/>
      <c r="H872" s="66"/>
      <c r="I872" s="66"/>
    </row>
    <row r="873" spans="7:9" ht="12.75">
      <c r="G873" s="66"/>
      <c r="H873" s="66"/>
      <c r="I873" s="66"/>
    </row>
    <row r="874" spans="7:9" ht="12.75">
      <c r="G874" s="66"/>
      <c r="H874" s="66"/>
      <c r="I874" s="66"/>
    </row>
    <row r="875" spans="7:9" ht="12.75">
      <c r="G875" s="66"/>
      <c r="H875" s="66"/>
      <c r="I875" s="66"/>
    </row>
    <row r="876" spans="7:9" ht="12.75">
      <c r="G876" s="66"/>
      <c r="H876" s="66"/>
      <c r="I876" s="66"/>
    </row>
    <row r="877" spans="7:9" ht="12.75">
      <c r="G877" s="66"/>
      <c r="H877" s="66"/>
      <c r="I877" s="66"/>
    </row>
    <row r="878" spans="7:9" ht="12.75">
      <c r="G878" s="66"/>
      <c r="H878" s="66"/>
      <c r="I878" s="66"/>
    </row>
    <row r="879" spans="7:9" ht="12.75">
      <c r="G879" s="66"/>
      <c r="H879" s="66"/>
      <c r="I879" s="66"/>
    </row>
    <row r="880" spans="7:9" ht="12.75">
      <c r="G880" s="66"/>
      <c r="H880" s="66"/>
      <c r="I880" s="66"/>
    </row>
    <row r="881" spans="7:9" ht="12.75">
      <c r="G881" s="66"/>
      <c r="H881" s="66"/>
      <c r="I881" s="66"/>
    </row>
    <row r="882" spans="7:9" ht="12.75">
      <c r="G882" s="66"/>
      <c r="H882" s="66"/>
      <c r="I882" s="66"/>
    </row>
    <row r="883" spans="7:9" ht="12.75">
      <c r="G883" s="66"/>
      <c r="H883" s="66"/>
      <c r="I883" s="66"/>
    </row>
    <row r="884" spans="7:9" ht="12.75">
      <c r="G884" s="66"/>
      <c r="H884" s="66"/>
      <c r="I884" s="66"/>
    </row>
    <row r="885" spans="7:9" ht="12.75">
      <c r="G885" s="66"/>
      <c r="H885" s="66"/>
      <c r="I885" s="66"/>
    </row>
    <row r="886" spans="7:9" ht="12.75">
      <c r="G886" s="66"/>
      <c r="H886" s="66"/>
      <c r="I886" s="66"/>
    </row>
    <row r="887" spans="7:9" ht="12.75">
      <c r="G887" s="66"/>
      <c r="H887" s="66"/>
      <c r="I887" s="66"/>
    </row>
    <row r="888" spans="7:9" ht="12.75">
      <c r="G888" s="66"/>
      <c r="H888" s="66"/>
      <c r="I888" s="66"/>
    </row>
    <row r="889" spans="7:9" ht="12.75">
      <c r="G889" s="66"/>
      <c r="H889" s="66"/>
      <c r="I889" s="66"/>
    </row>
    <row r="890" spans="7:9" ht="12.75">
      <c r="G890" s="66"/>
      <c r="H890" s="66"/>
      <c r="I890" s="66"/>
    </row>
    <row r="891" spans="7:9" ht="12.75">
      <c r="G891" s="66"/>
      <c r="H891" s="66"/>
      <c r="I891" s="66"/>
    </row>
    <row r="892" spans="7:9" ht="12.75">
      <c r="G892" s="66"/>
      <c r="H892" s="66"/>
      <c r="I892" s="66"/>
    </row>
    <row r="893" spans="7:9" ht="12.75">
      <c r="G893" s="66"/>
      <c r="H893" s="66"/>
      <c r="I893" s="66"/>
    </row>
    <row r="894" spans="7:9" ht="12.75">
      <c r="G894" s="66"/>
      <c r="H894" s="66"/>
      <c r="I894" s="66"/>
    </row>
    <row r="895" spans="7:9" ht="12.75">
      <c r="G895" s="66"/>
      <c r="H895" s="66"/>
      <c r="I895" s="66"/>
    </row>
    <row r="896" spans="7:9" ht="12.75">
      <c r="G896" s="66"/>
      <c r="H896" s="66"/>
      <c r="I896" s="66"/>
    </row>
    <row r="897" spans="7:9" ht="12.75">
      <c r="G897" s="66"/>
      <c r="H897" s="66"/>
      <c r="I897" s="66"/>
    </row>
    <row r="898" spans="7:9" ht="12.75">
      <c r="G898" s="66"/>
      <c r="H898" s="66"/>
      <c r="I898" s="66"/>
    </row>
    <row r="899" spans="7:9" ht="12.75">
      <c r="G899" s="66"/>
      <c r="H899" s="66"/>
      <c r="I899" s="66"/>
    </row>
    <row r="900" spans="7:9" ht="12.75">
      <c r="G900" s="66"/>
      <c r="H900" s="66"/>
      <c r="I900" s="66"/>
    </row>
    <row r="901" spans="7:9" ht="12.75">
      <c r="G901" s="66"/>
      <c r="H901" s="66"/>
      <c r="I901" s="66"/>
    </row>
    <row r="902" spans="7:9" ht="12.75">
      <c r="G902" s="66"/>
      <c r="H902" s="66"/>
      <c r="I902" s="66"/>
    </row>
    <row r="903" spans="7:9" ht="12.75">
      <c r="G903" s="66"/>
      <c r="H903" s="66"/>
      <c r="I903" s="66"/>
    </row>
    <row r="904" spans="7:9" ht="12.75">
      <c r="G904" s="66"/>
      <c r="H904" s="66"/>
      <c r="I904" s="66"/>
    </row>
    <row r="905" spans="7:9" ht="12.75">
      <c r="G905" s="66"/>
      <c r="H905" s="66"/>
      <c r="I905" s="66"/>
    </row>
    <row r="906" spans="7:9" ht="12.75">
      <c r="G906" s="66"/>
      <c r="H906" s="66"/>
      <c r="I906" s="66"/>
    </row>
    <row r="907" spans="7:9" ht="12.75">
      <c r="G907" s="66"/>
      <c r="H907" s="66"/>
      <c r="I907" s="66"/>
    </row>
    <row r="908" spans="7:9" ht="12.75">
      <c r="G908" s="66"/>
      <c r="H908" s="66"/>
      <c r="I908" s="66"/>
    </row>
    <row r="909" spans="7:9" ht="12.75">
      <c r="G909" s="66"/>
      <c r="H909" s="66"/>
      <c r="I909" s="66"/>
    </row>
    <row r="910" spans="7:9" ht="12.75">
      <c r="G910" s="66"/>
      <c r="H910" s="66"/>
      <c r="I910" s="66"/>
    </row>
    <row r="911" spans="7:9" ht="12.75">
      <c r="G911" s="66"/>
      <c r="H911" s="66"/>
      <c r="I911" s="66"/>
    </row>
    <row r="912" spans="7:9" ht="12.75">
      <c r="G912" s="66"/>
      <c r="H912" s="66"/>
      <c r="I912" s="66"/>
    </row>
    <row r="913" spans="7:9" ht="12.75">
      <c r="G913" s="66"/>
      <c r="H913" s="66"/>
      <c r="I913" s="66"/>
    </row>
    <row r="914" spans="7:9" ht="12.75">
      <c r="G914" s="66"/>
      <c r="H914" s="66"/>
      <c r="I914" s="66"/>
    </row>
    <row r="915" spans="7:9" ht="12.75">
      <c r="G915" s="66"/>
      <c r="H915" s="66"/>
      <c r="I915" s="66"/>
    </row>
    <row r="916" spans="7:9" ht="12.75">
      <c r="G916" s="66"/>
      <c r="H916" s="66"/>
      <c r="I916" s="66"/>
    </row>
    <row r="917" spans="7:9" ht="12.75">
      <c r="G917" s="66"/>
      <c r="H917" s="66"/>
      <c r="I917" s="66"/>
    </row>
    <row r="918" spans="7:9" ht="12.75">
      <c r="G918" s="66"/>
      <c r="H918" s="66"/>
      <c r="I918" s="66"/>
    </row>
    <row r="919" spans="7:9" ht="12.75">
      <c r="G919" s="66"/>
      <c r="H919" s="66"/>
      <c r="I919" s="66"/>
    </row>
    <row r="920" spans="7:9" ht="12.75">
      <c r="G920" s="66"/>
      <c r="H920" s="66"/>
      <c r="I920" s="66"/>
    </row>
    <row r="921" spans="7:9" ht="12.75">
      <c r="G921" s="66"/>
      <c r="H921" s="66"/>
      <c r="I921" s="66"/>
    </row>
    <row r="922" spans="7:9" ht="12.75">
      <c r="G922" s="66"/>
      <c r="H922" s="66"/>
      <c r="I922" s="66"/>
    </row>
    <row r="923" spans="7:9" ht="12.75">
      <c r="G923" s="66"/>
      <c r="H923" s="66"/>
      <c r="I923" s="66"/>
    </row>
    <row r="924" spans="7:9" ht="12.75">
      <c r="G924" s="66"/>
      <c r="H924" s="66"/>
      <c r="I924" s="66"/>
    </row>
    <row r="925" spans="7:9" ht="12.75">
      <c r="G925" s="66"/>
      <c r="H925" s="66"/>
      <c r="I925" s="66"/>
    </row>
    <row r="926" spans="7:9" ht="12.75">
      <c r="G926" s="66"/>
      <c r="H926" s="66"/>
      <c r="I926" s="66"/>
    </row>
    <row r="927" spans="7:9" ht="12.75">
      <c r="G927" s="66"/>
      <c r="H927" s="66"/>
      <c r="I927" s="66"/>
    </row>
    <row r="928" spans="7:9" ht="12.75">
      <c r="G928" s="66"/>
      <c r="H928" s="66"/>
      <c r="I928" s="66"/>
    </row>
    <row r="929" spans="7:9" ht="12.75">
      <c r="G929" s="66"/>
      <c r="H929" s="66"/>
      <c r="I929" s="66"/>
    </row>
    <row r="930" spans="7:9" ht="12.75">
      <c r="G930" s="66"/>
      <c r="H930" s="66"/>
      <c r="I930" s="66"/>
    </row>
    <row r="931" spans="7:9" ht="12.75">
      <c r="G931" s="66"/>
      <c r="H931" s="66"/>
      <c r="I931" s="66"/>
    </row>
    <row r="932" spans="7:9" ht="12.75">
      <c r="G932" s="66"/>
      <c r="H932" s="66"/>
      <c r="I932" s="66"/>
    </row>
    <row r="933" spans="7:9" ht="12.75">
      <c r="G933" s="66"/>
      <c r="H933" s="66"/>
      <c r="I933" s="66"/>
    </row>
    <row r="934" spans="7:9" ht="12.75">
      <c r="G934" s="66"/>
      <c r="H934" s="66"/>
      <c r="I934" s="66"/>
    </row>
    <row r="935" spans="7:9" ht="12.75">
      <c r="G935" s="66"/>
      <c r="H935" s="66"/>
      <c r="I935" s="66"/>
    </row>
    <row r="936" spans="7:9" ht="12.75">
      <c r="G936" s="66"/>
      <c r="H936" s="66"/>
      <c r="I936" s="66"/>
    </row>
    <row r="937" spans="7:9" ht="12.75">
      <c r="G937" s="66"/>
      <c r="H937" s="66"/>
      <c r="I937" s="66"/>
    </row>
    <row r="938" spans="7:9" ht="12.75">
      <c r="G938" s="66"/>
      <c r="H938" s="66"/>
      <c r="I938" s="66"/>
    </row>
    <row r="939" spans="7:9" ht="12.75">
      <c r="G939" s="66"/>
      <c r="H939" s="66"/>
      <c r="I939" s="66"/>
    </row>
    <row r="940" spans="7:9" ht="12.75">
      <c r="G940" s="66"/>
      <c r="H940" s="66"/>
      <c r="I940" s="66"/>
    </row>
    <row r="941" spans="7:9" ht="12.75">
      <c r="G941" s="66"/>
      <c r="H941" s="66"/>
      <c r="I941" s="66"/>
    </row>
    <row r="942" spans="7:9" ht="12.75">
      <c r="G942" s="66"/>
      <c r="H942" s="66"/>
      <c r="I942" s="66"/>
    </row>
    <row r="943" spans="7:9" ht="12.75">
      <c r="G943" s="66"/>
      <c r="H943" s="66"/>
      <c r="I943" s="66"/>
    </row>
    <row r="944" spans="7:9" ht="12.75">
      <c r="G944" s="66"/>
      <c r="H944" s="66"/>
      <c r="I944" s="66"/>
    </row>
    <row r="945" spans="7:9" ht="12.75">
      <c r="G945" s="66"/>
      <c r="H945" s="66"/>
      <c r="I945" s="66"/>
    </row>
    <row r="946" spans="7:9" ht="12.75">
      <c r="G946" s="66"/>
      <c r="H946" s="66"/>
      <c r="I946" s="66"/>
    </row>
    <row r="947" spans="7:9" ht="12.75">
      <c r="G947" s="66"/>
      <c r="H947" s="66"/>
      <c r="I947" s="66"/>
    </row>
    <row r="948" spans="7:9" ht="12.75">
      <c r="G948" s="66"/>
      <c r="H948" s="66"/>
      <c r="I948" s="66"/>
    </row>
    <row r="949" spans="7:9" ht="12.75">
      <c r="G949" s="66"/>
      <c r="H949" s="66"/>
      <c r="I949" s="66"/>
    </row>
    <row r="950" spans="7:9" ht="12.75">
      <c r="G950" s="66"/>
      <c r="H950" s="66"/>
      <c r="I950" s="66"/>
    </row>
    <row r="951" spans="7:9" ht="12.75">
      <c r="G951" s="66"/>
      <c r="H951" s="66"/>
      <c r="I951" s="66"/>
    </row>
    <row r="952" spans="7:9" ht="12.75">
      <c r="G952" s="66"/>
      <c r="H952" s="66"/>
      <c r="I952" s="66"/>
    </row>
    <row r="953" spans="7:9" ht="12.75">
      <c r="G953" s="66"/>
      <c r="H953" s="66"/>
      <c r="I953" s="66"/>
    </row>
    <row r="954" spans="7:9" ht="12.75">
      <c r="G954" s="66"/>
      <c r="H954" s="66"/>
      <c r="I954" s="66"/>
    </row>
    <row r="955" spans="7:9" ht="12.75">
      <c r="G955" s="66"/>
      <c r="H955" s="66"/>
      <c r="I955" s="66"/>
    </row>
    <row r="956" spans="7:9" ht="12.75">
      <c r="G956" s="66"/>
      <c r="H956" s="66"/>
      <c r="I956" s="66"/>
    </row>
    <row r="957" spans="7:9" ht="12.75">
      <c r="G957" s="66"/>
      <c r="H957" s="66"/>
      <c r="I957" s="66"/>
    </row>
    <row r="958" spans="7:9" ht="12.75">
      <c r="G958" s="66"/>
      <c r="H958" s="66"/>
      <c r="I958" s="66"/>
    </row>
    <row r="959" spans="7:9" ht="12.75">
      <c r="G959" s="66"/>
      <c r="H959" s="66"/>
      <c r="I959" s="66"/>
    </row>
    <row r="960" spans="7:9" ht="12.75">
      <c r="G960" s="66"/>
      <c r="H960" s="66"/>
      <c r="I960" s="66"/>
    </row>
    <row r="961" spans="7:9" ht="12.75">
      <c r="G961" s="66"/>
      <c r="H961" s="66"/>
      <c r="I961" s="66"/>
    </row>
    <row r="962" spans="7:9" ht="12.75">
      <c r="G962" s="66"/>
      <c r="H962" s="66"/>
      <c r="I962" s="66"/>
    </row>
    <row r="963" spans="7:9" ht="12.75">
      <c r="G963" s="66"/>
      <c r="H963" s="66"/>
      <c r="I963" s="66"/>
    </row>
    <row r="964" spans="7:9" ht="12.75">
      <c r="G964" s="66"/>
      <c r="H964" s="66"/>
      <c r="I964" s="66"/>
    </row>
    <row r="965" spans="7:9" ht="12.75">
      <c r="G965" s="66"/>
      <c r="H965" s="66"/>
      <c r="I965" s="66"/>
    </row>
    <row r="966" spans="7:9" ht="12.75">
      <c r="G966" s="66"/>
      <c r="H966" s="66"/>
      <c r="I966" s="66"/>
    </row>
    <row r="967" spans="7:9" ht="12.75">
      <c r="G967" s="66"/>
      <c r="H967" s="66"/>
      <c r="I967" s="66"/>
    </row>
    <row r="968" spans="7:9" ht="12.75">
      <c r="G968" s="66"/>
      <c r="H968" s="66"/>
      <c r="I968" s="66"/>
    </row>
    <row r="969" spans="7:9" ht="12.75">
      <c r="G969" s="66"/>
      <c r="H969" s="66"/>
      <c r="I969" s="66"/>
    </row>
    <row r="970" spans="7:9" ht="12.75">
      <c r="G970" s="66"/>
      <c r="H970" s="66"/>
      <c r="I970" s="66"/>
    </row>
    <row r="971" spans="7:9" ht="12.75">
      <c r="G971" s="66"/>
      <c r="H971" s="66"/>
      <c r="I971" s="66"/>
    </row>
    <row r="972" spans="7:9" ht="12.75">
      <c r="G972" s="66"/>
      <c r="H972" s="66"/>
      <c r="I972" s="66"/>
    </row>
    <row r="973" spans="7:9" ht="12.75">
      <c r="G973" s="66"/>
      <c r="H973" s="66"/>
      <c r="I973" s="66"/>
    </row>
    <row r="974" spans="7:9" ht="12.75">
      <c r="G974" s="66"/>
      <c r="H974" s="66"/>
      <c r="I974" s="66"/>
    </row>
    <row r="975" spans="7:9" ht="12.75">
      <c r="G975" s="66"/>
      <c r="H975" s="66"/>
      <c r="I975" s="66"/>
    </row>
    <row r="976" spans="7:9" ht="12.75">
      <c r="G976" s="66"/>
      <c r="H976" s="66"/>
      <c r="I976" s="66"/>
    </row>
    <row r="977" spans="7:9" ht="12.75">
      <c r="G977" s="66"/>
      <c r="H977" s="66"/>
      <c r="I977" s="66"/>
    </row>
    <row r="978" spans="7:9" ht="12.75">
      <c r="G978" s="66"/>
      <c r="H978" s="66"/>
      <c r="I978" s="66"/>
    </row>
    <row r="979" spans="7:9" ht="12.75">
      <c r="G979" s="66"/>
      <c r="H979" s="66"/>
      <c r="I979" s="66"/>
    </row>
    <row r="980" spans="7:9" ht="12.75">
      <c r="G980" s="66"/>
      <c r="H980" s="66"/>
      <c r="I980" s="66"/>
    </row>
    <row r="981" spans="7:9" ht="12.75">
      <c r="G981" s="66"/>
      <c r="H981" s="66"/>
      <c r="I981" s="66"/>
    </row>
    <row r="982" spans="7:9" ht="12.75">
      <c r="G982" s="66"/>
      <c r="H982" s="66"/>
      <c r="I982" s="66"/>
    </row>
    <row r="983" spans="7:9" ht="12.75">
      <c r="G983" s="66"/>
      <c r="H983" s="66"/>
      <c r="I983" s="66"/>
    </row>
    <row r="984" spans="7:9" ht="12.75">
      <c r="G984" s="66"/>
      <c r="H984" s="66"/>
      <c r="I984" s="66"/>
    </row>
    <row r="985" spans="7:9" ht="12.75">
      <c r="G985" s="66"/>
      <c r="H985" s="66"/>
      <c r="I985" s="66"/>
    </row>
    <row r="986" spans="7:9" ht="12.75">
      <c r="G986" s="66"/>
      <c r="H986" s="66"/>
      <c r="I986" s="66"/>
    </row>
    <row r="987" spans="7:9" ht="12.75">
      <c r="G987" s="66"/>
      <c r="H987" s="66"/>
      <c r="I987" s="66"/>
    </row>
    <row r="988" spans="7:9" ht="12.75">
      <c r="G988" s="66"/>
      <c r="H988" s="66"/>
      <c r="I988" s="66"/>
    </row>
    <row r="989" spans="7:9" ht="12.75">
      <c r="G989" s="66"/>
      <c r="H989" s="66"/>
      <c r="I989" s="66"/>
    </row>
    <row r="990" spans="7:9" ht="12.75">
      <c r="G990" s="66"/>
      <c r="H990" s="66"/>
      <c r="I990" s="66"/>
    </row>
    <row r="991" spans="7:9" ht="12.75">
      <c r="G991" s="66"/>
      <c r="H991" s="66"/>
      <c r="I991" s="66"/>
    </row>
    <row r="992" spans="7:9" ht="12.75">
      <c r="G992" s="66"/>
      <c r="H992" s="66"/>
      <c r="I992" s="66"/>
    </row>
    <row r="993" spans="7:9" ht="12.75">
      <c r="G993" s="66"/>
      <c r="H993" s="66"/>
      <c r="I993" s="66"/>
    </row>
    <row r="994" spans="7:9" ht="12.75">
      <c r="G994" s="66"/>
      <c r="H994" s="66"/>
      <c r="I994" s="66"/>
    </row>
    <row r="995" spans="7:9" ht="12.75">
      <c r="G995" s="66"/>
      <c r="H995" s="66"/>
      <c r="I995" s="66"/>
    </row>
    <row r="996" spans="7:9" ht="12.75">
      <c r="G996" s="66"/>
      <c r="H996" s="66"/>
      <c r="I996" s="66"/>
    </row>
    <row r="997" spans="7:9" ht="12.75">
      <c r="G997" s="66"/>
      <c r="H997" s="66"/>
      <c r="I997" s="66"/>
    </row>
    <row r="998" spans="7:9" ht="12.75">
      <c r="G998" s="66"/>
      <c r="H998" s="66"/>
      <c r="I998" s="66"/>
    </row>
    <row r="999" spans="7:9" ht="12.75">
      <c r="G999" s="66"/>
      <c r="H999" s="66"/>
      <c r="I999" s="66"/>
    </row>
    <row r="1000" spans="7:9" ht="12.75">
      <c r="G1000" s="66"/>
      <c r="H1000" s="66"/>
      <c r="I1000" s="66"/>
    </row>
    <row r="1001" spans="7:9" ht="12.75">
      <c r="G1001" s="66"/>
      <c r="H1001" s="66"/>
      <c r="I1001" s="66"/>
    </row>
    <row r="1002" spans="7:9" ht="12.75">
      <c r="G1002" s="66"/>
      <c r="H1002" s="66"/>
      <c r="I1002" s="66"/>
    </row>
    <row r="1003" spans="7:9" ht="12.75">
      <c r="G1003" s="66"/>
      <c r="H1003" s="66"/>
      <c r="I1003" s="66"/>
    </row>
    <row r="1004" spans="7:9" ht="12.75">
      <c r="G1004" s="66"/>
      <c r="H1004" s="66"/>
      <c r="I1004" s="66"/>
    </row>
    <row r="1005" spans="7:9" ht="12.75">
      <c r="G1005" s="66"/>
      <c r="H1005" s="66"/>
      <c r="I1005" s="66"/>
    </row>
    <row r="1006" spans="7:9" ht="12.75">
      <c r="G1006" s="66"/>
      <c r="H1006" s="66"/>
      <c r="I1006" s="66"/>
    </row>
    <row r="1007" spans="7:9" ht="12.75">
      <c r="G1007" s="66"/>
      <c r="H1007" s="66"/>
      <c r="I1007" s="66"/>
    </row>
    <row r="1008" spans="7:9" ht="12.75">
      <c r="G1008" s="66"/>
      <c r="H1008" s="66"/>
      <c r="I1008" s="66"/>
    </row>
    <row r="1009" spans="7:9" ht="12.75">
      <c r="G1009" s="66"/>
      <c r="H1009" s="66"/>
      <c r="I1009" s="66"/>
    </row>
    <row r="1010" spans="7:9" ht="12.75">
      <c r="G1010" s="66"/>
      <c r="H1010" s="66"/>
      <c r="I1010" s="66"/>
    </row>
    <row r="1011" spans="7:9" ht="12.75">
      <c r="G1011" s="66"/>
      <c r="H1011" s="66"/>
      <c r="I1011" s="66"/>
    </row>
    <row r="1012" spans="7:9" ht="12.75">
      <c r="G1012" s="66"/>
      <c r="H1012" s="66"/>
      <c r="I1012" s="66"/>
    </row>
    <row r="1013" spans="7:9" ht="12.75">
      <c r="G1013" s="66"/>
      <c r="H1013" s="66"/>
      <c r="I1013" s="66"/>
    </row>
    <row r="1014" spans="7:9" ht="12.75">
      <c r="G1014" s="66"/>
      <c r="H1014" s="66"/>
      <c r="I1014" s="66"/>
    </row>
    <row r="1015" spans="7:9" ht="12.75">
      <c r="G1015" s="66"/>
      <c r="H1015" s="66"/>
      <c r="I1015" s="66"/>
    </row>
    <row r="1016" spans="7:9" ht="12.75">
      <c r="G1016" s="66"/>
      <c r="H1016" s="66"/>
      <c r="I1016" s="66"/>
    </row>
    <row r="1017" spans="7:9" ht="12.75">
      <c r="G1017" s="66"/>
      <c r="H1017" s="66"/>
      <c r="I1017" s="66"/>
    </row>
    <row r="1018" spans="7:9" ht="12.75">
      <c r="G1018" s="66"/>
      <c r="H1018" s="66"/>
      <c r="I1018" s="66"/>
    </row>
    <row r="1019" spans="7:9" ht="12.75">
      <c r="G1019" s="66"/>
      <c r="H1019" s="66"/>
      <c r="I1019" s="66"/>
    </row>
    <row r="1020" spans="7:9" ht="12.75">
      <c r="G1020" s="66"/>
      <c r="H1020" s="66"/>
      <c r="I1020" s="66"/>
    </row>
    <row r="1021" spans="7:9" ht="12.75">
      <c r="G1021" s="66"/>
      <c r="H1021" s="66"/>
      <c r="I1021" s="66"/>
    </row>
    <row r="1022" spans="7:9" ht="12.75">
      <c r="G1022" s="66"/>
      <c r="H1022" s="66"/>
      <c r="I1022" s="66"/>
    </row>
    <row r="1023" spans="7:9" ht="12.75">
      <c r="G1023" s="66"/>
      <c r="H1023" s="66"/>
      <c r="I1023" s="66"/>
    </row>
    <row r="1024" spans="7:9" ht="12.75">
      <c r="G1024" s="66"/>
      <c r="H1024" s="66"/>
      <c r="I1024" s="66"/>
    </row>
    <row r="1025" spans="7:9" ht="12.75">
      <c r="G1025" s="66"/>
      <c r="H1025" s="66"/>
      <c r="I1025" s="66"/>
    </row>
    <row r="1026" spans="7:9" ht="12.75">
      <c r="G1026" s="66"/>
      <c r="H1026" s="66"/>
      <c r="I1026" s="66"/>
    </row>
    <row r="1027" spans="7:9" ht="12.75">
      <c r="G1027" s="66"/>
      <c r="H1027" s="66"/>
      <c r="I1027" s="66"/>
    </row>
    <row r="1028" spans="7:9" ht="12.75">
      <c r="G1028" s="66"/>
      <c r="H1028" s="66"/>
      <c r="I1028" s="66"/>
    </row>
    <row r="1029" spans="7:9" ht="12.75">
      <c r="G1029" s="66"/>
      <c r="H1029" s="66"/>
      <c r="I1029" s="66"/>
    </row>
    <row r="1030" spans="7:9" ht="12.75">
      <c r="G1030" s="66"/>
      <c r="H1030" s="66"/>
      <c r="I1030" s="66"/>
    </row>
    <row r="1031" spans="7:9" ht="12.75">
      <c r="G1031" s="66"/>
      <c r="H1031" s="66"/>
      <c r="I1031" s="66"/>
    </row>
    <row r="1032" spans="7:9" ht="12.75">
      <c r="G1032" s="66"/>
      <c r="H1032" s="66"/>
      <c r="I1032" s="66"/>
    </row>
    <row r="1033" spans="7:9" ht="12.75">
      <c r="G1033" s="66"/>
      <c r="H1033" s="66"/>
      <c r="I1033" s="66"/>
    </row>
    <row r="1034" spans="7:9" ht="12.75">
      <c r="G1034" s="66"/>
      <c r="H1034" s="66"/>
      <c r="I1034" s="66"/>
    </row>
    <row r="1035" spans="7:9" ht="12.75">
      <c r="G1035" s="66"/>
      <c r="H1035" s="66"/>
      <c r="I1035" s="66"/>
    </row>
    <row r="1036" spans="7:9" ht="12.75">
      <c r="G1036" s="66"/>
      <c r="H1036" s="66"/>
      <c r="I1036" s="66"/>
    </row>
    <row r="1037" spans="7:9" ht="12.75">
      <c r="G1037" s="66"/>
      <c r="H1037" s="66"/>
      <c r="I1037" s="66"/>
    </row>
    <row r="1038" spans="7:9" ht="12.75">
      <c r="G1038" s="66"/>
      <c r="H1038" s="66"/>
      <c r="I1038" s="66"/>
    </row>
    <row r="1039" spans="7:9" ht="12.75">
      <c r="G1039" s="66"/>
      <c r="H1039" s="66"/>
      <c r="I1039" s="66"/>
    </row>
    <row r="1040" spans="7:9" ht="12.75">
      <c r="G1040" s="66"/>
      <c r="H1040" s="66"/>
      <c r="I1040" s="66"/>
    </row>
    <row r="1041" spans="7:9" ht="12.75">
      <c r="G1041" s="66"/>
      <c r="H1041" s="66"/>
      <c r="I1041" s="66"/>
    </row>
    <row r="1042" spans="7:9" ht="12.75">
      <c r="G1042" s="66"/>
      <c r="H1042" s="66"/>
      <c r="I1042" s="66"/>
    </row>
    <row r="1043" spans="7:9" ht="12.75">
      <c r="G1043" s="66"/>
      <c r="H1043" s="66"/>
      <c r="I1043" s="66"/>
    </row>
    <row r="1044" spans="7:9" ht="12.75">
      <c r="G1044" s="66"/>
      <c r="H1044" s="66"/>
      <c r="I1044" s="66"/>
    </row>
    <row r="1045" spans="7:9" ht="12.75">
      <c r="G1045" s="66"/>
      <c r="H1045" s="66"/>
      <c r="I1045" s="66"/>
    </row>
    <row r="1046" spans="7:9" ht="12.75">
      <c r="G1046" s="66"/>
      <c r="H1046" s="66"/>
      <c r="I1046" s="66"/>
    </row>
    <row r="1047" spans="7:9" ht="12.75">
      <c r="G1047" s="66"/>
      <c r="H1047" s="66"/>
      <c r="I1047" s="66"/>
    </row>
    <row r="1048" spans="7:9" ht="12.75">
      <c r="G1048" s="66"/>
      <c r="H1048" s="66"/>
      <c r="I1048" s="66"/>
    </row>
    <row r="1049" spans="7:9" ht="12.75">
      <c r="G1049" s="66"/>
      <c r="H1049" s="66"/>
      <c r="I1049" s="66"/>
    </row>
    <row r="1050" spans="7:9" ht="12.75">
      <c r="G1050" s="66"/>
      <c r="H1050" s="66"/>
      <c r="I1050" s="66"/>
    </row>
    <row r="1051" spans="7:9" ht="12.75">
      <c r="G1051" s="66"/>
      <c r="H1051" s="66"/>
      <c r="I1051" s="66"/>
    </row>
    <row r="1052" spans="7:9" ht="12.75">
      <c r="G1052" s="66"/>
      <c r="H1052" s="66"/>
      <c r="I1052" s="66"/>
    </row>
    <row r="1053" spans="7:9" ht="12.75">
      <c r="G1053" s="66"/>
      <c r="H1053" s="66"/>
      <c r="I1053" s="66"/>
    </row>
    <row r="1054" spans="7:9" ht="12.75">
      <c r="G1054" s="66"/>
      <c r="H1054" s="66"/>
      <c r="I1054" s="66"/>
    </row>
    <row r="1055" spans="7:9" ht="12.75">
      <c r="G1055" s="66"/>
      <c r="H1055" s="66"/>
      <c r="I1055" s="66"/>
    </row>
    <row r="1056" spans="7:9" ht="12.75">
      <c r="G1056" s="66"/>
      <c r="H1056" s="66"/>
      <c r="I1056" s="66"/>
    </row>
    <row r="1057" spans="7:9" ht="12.75">
      <c r="G1057" s="66"/>
      <c r="H1057" s="66"/>
      <c r="I1057" s="66"/>
    </row>
    <row r="1058" spans="7:9" ht="12.75">
      <c r="G1058" s="66"/>
      <c r="H1058" s="66"/>
      <c r="I1058" s="66"/>
    </row>
    <row r="1059" spans="7:9" ht="12.75">
      <c r="G1059" s="66"/>
      <c r="H1059" s="66"/>
      <c r="I1059" s="66"/>
    </row>
    <row r="1060" spans="7:9" ht="12.75">
      <c r="G1060" s="66"/>
      <c r="H1060" s="66"/>
      <c r="I1060" s="66"/>
    </row>
    <row r="1061" spans="7:9" ht="12.75">
      <c r="G1061" s="66"/>
      <c r="H1061" s="66"/>
      <c r="I1061" s="66"/>
    </row>
    <row r="1062" spans="7:9" ht="12.75">
      <c r="G1062" s="66"/>
      <c r="H1062" s="66"/>
      <c r="I1062" s="66"/>
    </row>
    <row r="1063" spans="7:9" ht="12.75">
      <c r="G1063" s="66"/>
      <c r="H1063" s="66"/>
      <c r="I1063" s="66"/>
    </row>
    <row r="1064" spans="7:9" ht="12.75">
      <c r="G1064" s="66"/>
      <c r="H1064" s="66"/>
      <c r="I1064" s="66"/>
    </row>
    <row r="1065" spans="7:9" ht="12.75">
      <c r="G1065" s="66"/>
      <c r="H1065" s="66"/>
      <c r="I1065" s="66"/>
    </row>
    <row r="1066" spans="7:9" ht="12.75">
      <c r="G1066" s="66"/>
      <c r="H1066" s="66"/>
      <c r="I1066" s="66"/>
    </row>
    <row r="1067" spans="7:9" ht="12.75">
      <c r="G1067" s="66"/>
      <c r="H1067" s="66"/>
      <c r="I1067" s="66"/>
    </row>
    <row r="1068" spans="7:9" ht="12.75">
      <c r="G1068" s="66"/>
      <c r="H1068" s="66"/>
      <c r="I1068" s="66"/>
    </row>
    <row r="1069" spans="7:9" ht="12.75">
      <c r="G1069" s="66"/>
      <c r="H1069" s="66"/>
      <c r="I1069" s="66"/>
    </row>
    <row r="1070" spans="7:9" ht="12.75">
      <c r="G1070" s="66"/>
      <c r="H1070" s="66"/>
      <c r="I1070" s="66"/>
    </row>
    <row r="1071" spans="7:9" ht="12.75">
      <c r="G1071" s="66"/>
      <c r="H1071" s="66"/>
      <c r="I1071" s="66"/>
    </row>
    <row r="1072" spans="7:9" ht="12.75">
      <c r="G1072" s="66"/>
      <c r="H1072" s="66"/>
      <c r="I1072" s="66"/>
    </row>
    <row r="1073" spans="7:9" ht="12.75">
      <c r="G1073" s="66"/>
      <c r="H1073" s="66"/>
      <c r="I1073" s="66"/>
    </row>
    <row r="1074" spans="7:9" ht="12.75">
      <c r="G1074" s="66"/>
      <c r="H1074" s="66"/>
      <c r="I1074" s="66"/>
    </row>
    <row r="1075" spans="7:9" ht="12.75">
      <c r="G1075" s="66"/>
      <c r="H1075" s="66"/>
      <c r="I1075" s="66"/>
    </row>
    <row r="1076" spans="7:9" ht="12.75">
      <c r="G1076" s="66"/>
      <c r="H1076" s="66"/>
      <c r="I1076" s="66"/>
    </row>
    <row r="1077" spans="7:9" ht="12.75">
      <c r="G1077" s="66"/>
      <c r="H1077" s="66"/>
      <c r="I1077" s="66"/>
    </row>
    <row r="1078" spans="7:9" ht="12.75">
      <c r="G1078" s="66"/>
      <c r="H1078" s="66"/>
      <c r="I1078" s="66"/>
    </row>
    <row r="1079" spans="7:9" ht="12.75">
      <c r="G1079" s="66"/>
      <c r="H1079" s="66"/>
      <c r="I1079" s="66"/>
    </row>
    <row r="1080" spans="7:9" ht="12.75">
      <c r="G1080" s="66"/>
      <c r="H1080" s="66"/>
      <c r="I1080" s="66"/>
    </row>
    <row r="1081" spans="7:9" ht="12.75">
      <c r="G1081" s="66"/>
      <c r="H1081" s="66"/>
      <c r="I1081" s="66"/>
    </row>
    <row r="1082" spans="7:9" ht="12.75">
      <c r="G1082" s="66"/>
      <c r="H1082" s="66"/>
      <c r="I1082" s="66"/>
    </row>
    <row r="1083" spans="7:9" ht="12.75">
      <c r="G1083" s="66"/>
      <c r="H1083" s="66"/>
      <c r="I1083" s="66"/>
    </row>
    <row r="1084" spans="7:9" ht="12.75">
      <c r="G1084" s="66"/>
      <c r="H1084" s="66"/>
      <c r="I1084" s="66"/>
    </row>
    <row r="1085" spans="7:9" ht="12.75">
      <c r="G1085" s="66"/>
      <c r="H1085" s="66"/>
      <c r="I1085" s="66"/>
    </row>
    <row r="1086" spans="7:9" ht="12.75">
      <c r="G1086" s="66"/>
      <c r="H1086" s="66"/>
      <c r="I1086" s="66"/>
    </row>
    <row r="1087" spans="7:9" ht="12.75">
      <c r="G1087" s="66"/>
      <c r="H1087" s="66"/>
      <c r="I1087" s="66"/>
    </row>
    <row r="1088" spans="7:9" ht="12.75">
      <c r="G1088" s="66"/>
      <c r="H1088" s="66"/>
      <c r="I1088" s="66"/>
    </row>
    <row r="1089" spans="7:9" ht="12.75">
      <c r="G1089" s="66"/>
      <c r="H1089" s="66"/>
      <c r="I1089" s="66"/>
    </row>
    <row r="1090" spans="7:9" ht="12.75">
      <c r="G1090" s="66"/>
      <c r="H1090" s="66"/>
      <c r="I1090" s="66"/>
    </row>
    <row r="1091" spans="7:9" ht="12.75">
      <c r="G1091" s="66"/>
      <c r="H1091" s="66"/>
      <c r="I1091" s="66"/>
    </row>
    <row r="1092" spans="7:9" ht="12.75">
      <c r="G1092" s="66"/>
      <c r="H1092" s="66"/>
      <c r="I1092" s="66"/>
    </row>
    <row r="1093" spans="7:9" ht="12.75">
      <c r="G1093" s="66"/>
      <c r="H1093" s="66"/>
      <c r="I1093" s="66"/>
    </row>
    <row r="1094" spans="7:9" ht="12.75">
      <c r="G1094" s="66"/>
      <c r="H1094" s="66"/>
      <c r="I1094" s="66"/>
    </row>
    <row r="1095" spans="7:9" ht="12.75">
      <c r="G1095" s="66"/>
      <c r="H1095" s="66"/>
      <c r="I1095" s="66"/>
    </row>
    <row r="1096" spans="7:9" ht="12.75">
      <c r="G1096" s="66"/>
      <c r="H1096" s="66"/>
      <c r="I1096" s="66"/>
    </row>
    <row r="1097" spans="7:9" ht="12.75">
      <c r="G1097" s="66"/>
      <c r="H1097" s="66"/>
      <c r="I1097" s="66"/>
    </row>
    <row r="1098" spans="7:9" ht="12.75">
      <c r="G1098" s="66"/>
      <c r="H1098" s="66"/>
      <c r="I1098" s="66"/>
    </row>
    <row r="1099" spans="7:9" ht="12.75">
      <c r="G1099" s="66"/>
      <c r="H1099" s="66"/>
      <c r="I1099" s="66"/>
    </row>
    <row r="1100" spans="7:9" ht="12.75">
      <c r="G1100" s="66"/>
      <c r="H1100" s="66"/>
      <c r="I1100" s="66"/>
    </row>
    <row r="1101" spans="7:9" ht="12.75">
      <c r="G1101" s="66"/>
      <c r="H1101" s="66"/>
      <c r="I1101" s="66"/>
    </row>
    <row r="1102" spans="7:9" ht="12.75">
      <c r="G1102" s="66"/>
      <c r="H1102" s="66"/>
      <c r="I1102" s="66"/>
    </row>
    <row r="1103" spans="7:9" ht="12.75">
      <c r="G1103" s="66"/>
      <c r="H1103" s="66"/>
      <c r="I1103" s="66"/>
    </row>
    <row r="1104" spans="7:9" ht="12.75">
      <c r="G1104" s="66"/>
      <c r="H1104" s="66"/>
      <c r="I1104" s="66"/>
    </row>
    <row r="1105" spans="7:9" ht="12.75">
      <c r="G1105" s="66"/>
      <c r="H1105" s="66"/>
      <c r="I1105" s="66"/>
    </row>
    <row r="1106" spans="7:9" ht="12.75">
      <c r="G1106" s="66"/>
      <c r="H1106" s="66"/>
      <c r="I1106" s="66"/>
    </row>
    <row r="1107" spans="7:9" ht="12.75">
      <c r="G1107" s="66"/>
      <c r="H1107" s="66"/>
      <c r="I1107" s="66"/>
    </row>
    <row r="1108" spans="7:9" ht="12.75">
      <c r="G1108" s="66"/>
      <c r="H1108" s="66"/>
      <c r="I1108" s="66"/>
    </row>
    <row r="1109" spans="7:9" ht="12.75">
      <c r="G1109" s="66"/>
      <c r="H1109" s="66"/>
      <c r="I1109" s="66"/>
    </row>
    <row r="1110" spans="7:9" ht="12.75">
      <c r="G1110" s="66"/>
      <c r="H1110" s="66"/>
      <c r="I1110" s="66"/>
    </row>
    <row r="1111" spans="7:9" ht="12.75">
      <c r="G1111" s="66"/>
      <c r="H1111" s="66"/>
      <c r="I1111" s="66"/>
    </row>
    <row r="1112" spans="7:9" ht="12.75">
      <c r="G1112" s="66"/>
      <c r="H1112" s="66"/>
      <c r="I1112" s="66"/>
    </row>
    <row r="1113" spans="7:9" ht="12.75">
      <c r="G1113" s="66"/>
      <c r="H1113" s="66"/>
      <c r="I1113" s="66"/>
    </row>
    <row r="1114" spans="7:9" ht="12.75">
      <c r="G1114" s="66"/>
      <c r="H1114" s="66"/>
      <c r="I1114" s="66"/>
    </row>
    <row r="1115" spans="7:9" ht="12.75">
      <c r="G1115" s="66"/>
      <c r="H1115" s="66"/>
      <c r="I1115" s="66"/>
    </row>
    <row r="1116" spans="7:9" ht="12.75">
      <c r="G1116" s="66"/>
      <c r="H1116" s="66"/>
      <c r="I1116" s="66"/>
    </row>
    <row r="1117" spans="7:9" ht="12.75">
      <c r="G1117" s="66"/>
      <c r="H1117" s="66"/>
      <c r="I1117" s="66"/>
    </row>
    <row r="1118" spans="7:9" ht="12.75">
      <c r="G1118" s="66"/>
      <c r="H1118" s="66"/>
      <c r="I1118" s="66"/>
    </row>
    <row r="1119" spans="7:9" ht="12.75">
      <c r="G1119" s="66"/>
      <c r="H1119" s="66"/>
      <c r="I1119" s="66"/>
    </row>
    <row r="1120" spans="7:9" ht="12.75">
      <c r="G1120" s="66"/>
      <c r="H1120" s="66"/>
      <c r="I1120" s="66"/>
    </row>
    <row r="1121" spans="7:9" ht="12.75">
      <c r="G1121" s="66"/>
      <c r="H1121" s="66"/>
      <c r="I1121" s="66"/>
    </row>
    <row r="1122" spans="7:9" ht="12.75">
      <c r="G1122" s="66"/>
      <c r="H1122" s="66"/>
      <c r="I1122" s="66"/>
    </row>
    <row r="1123" spans="7:9" ht="12.75">
      <c r="G1123" s="66"/>
      <c r="H1123" s="66"/>
      <c r="I1123" s="66"/>
    </row>
    <row r="1124" spans="7:9" ht="12.75">
      <c r="G1124" s="66"/>
      <c r="H1124" s="66"/>
      <c r="I1124" s="66"/>
    </row>
    <row r="1125" spans="7:9" ht="12.75">
      <c r="G1125" s="66"/>
      <c r="H1125" s="66"/>
      <c r="I1125" s="66"/>
    </row>
    <row r="1126" spans="7:9" ht="12.75">
      <c r="G1126" s="66"/>
      <c r="H1126" s="66"/>
      <c r="I1126" s="66"/>
    </row>
    <row r="1127" spans="7:9" ht="12.75">
      <c r="G1127" s="66"/>
      <c r="H1127" s="66"/>
      <c r="I1127" s="66"/>
    </row>
    <row r="1128" spans="7:9" ht="12.75">
      <c r="G1128" s="66"/>
      <c r="H1128" s="66"/>
      <c r="I1128" s="66"/>
    </row>
    <row r="1129" spans="7:9" ht="12.75">
      <c r="G1129" s="66"/>
      <c r="H1129" s="66"/>
      <c r="I1129" s="66"/>
    </row>
    <row r="1130" spans="7:9" ht="12.75">
      <c r="G1130" s="66"/>
      <c r="H1130" s="66"/>
      <c r="I1130" s="66"/>
    </row>
    <row r="1131" spans="7:9" ht="12.75">
      <c r="G1131" s="66"/>
      <c r="H1131" s="66"/>
      <c r="I1131" s="66"/>
    </row>
    <row r="1132" spans="7:9" ht="12.75">
      <c r="G1132" s="66"/>
      <c r="H1132" s="66"/>
      <c r="I1132" s="66"/>
    </row>
    <row r="1133" spans="7:9" ht="12.75">
      <c r="G1133" s="66"/>
      <c r="H1133" s="66"/>
      <c r="I1133" s="66"/>
    </row>
    <row r="1134" spans="7:9" ht="12.75">
      <c r="G1134" s="66"/>
      <c r="H1134" s="66"/>
      <c r="I1134" s="66"/>
    </row>
    <row r="1135" spans="7:9" ht="12.75">
      <c r="G1135" s="66"/>
      <c r="H1135" s="66"/>
      <c r="I1135" s="66"/>
    </row>
    <row r="1136" spans="7:9" ht="12.75">
      <c r="G1136" s="66"/>
      <c r="H1136" s="66"/>
      <c r="I1136" s="66"/>
    </row>
    <row r="1137" spans="7:9" ht="12.75">
      <c r="G1137" s="66"/>
      <c r="H1137" s="66"/>
      <c r="I1137" s="66"/>
    </row>
    <row r="1138" spans="7:9" ht="12.75">
      <c r="G1138" s="66"/>
      <c r="H1138" s="66"/>
      <c r="I1138" s="66"/>
    </row>
    <row r="1139" spans="7:9" ht="12.75">
      <c r="G1139" s="66"/>
      <c r="H1139" s="66"/>
      <c r="I1139" s="66"/>
    </row>
    <row r="1140" spans="7:9" ht="12.75">
      <c r="G1140" s="66"/>
      <c r="H1140" s="66"/>
      <c r="I1140" s="66"/>
    </row>
    <row r="1141" spans="7:9" ht="12.75">
      <c r="G1141" s="66"/>
      <c r="H1141" s="66"/>
      <c r="I1141" s="66"/>
    </row>
    <row r="1142" spans="7:9" ht="12.75">
      <c r="G1142" s="66"/>
      <c r="H1142" s="66"/>
      <c r="I1142" s="66"/>
    </row>
    <row r="1143" spans="7:9" ht="12.75">
      <c r="G1143" s="66"/>
      <c r="H1143" s="66"/>
      <c r="I1143" s="66"/>
    </row>
    <row r="1144" spans="7:9" ht="12.75">
      <c r="G1144" s="66"/>
      <c r="H1144" s="66"/>
      <c r="I1144" s="66"/>
    </row>
    <row r="1145" spans="7:9" ht="12.75">
      <c r="G1145" s="66"/>
      <c r="H1145" s="66"/>
      <c r="I1145" s="66"/>
    </row>
    <row r="1146" spans="7:9" ht="12.75">
      <c r="G1146" s="66"/>
      <c r="H1146" s="66"/>
      <c r="I1146" s="66"/>
    </row>
    <row r="1147" spans="7:9" ht="12.75">
      <c r="G1147" s="66"/>
      <c r="H1147" s="66"/>
      <c r="I1147" s="66"/>
    </row>
    <row r="1148" spans="7:9" ht="12.75">
      <c r="G1148" s="66"/>
      <c r="H1148" s="66"/>
      <c r="I1148" s="66"/>
    </row>
    <row r="1149" spans="7:9" ht="12.75">
      <c r="G1149" s="66"/>
      <c r="H1149" s="66"/>
      <c r="I1149" s="66"/>
    </row>
    <row r="1150" spans="7:9" ht="12.75">
      <c r="G1150" s="66"/>
      <c r="H1150" s="66"/>
      <c r="I1150" s="66"/>
    </row>
    <row r="1151" spans="7:9" ht="12.75">
      <c r="G1151" s="66"/>
      <c r="H1151" s="66"/>
      <c r="I1151" s="66"/>
    </row>
    <row r="1152" spans="7:9" ht="12.75">
      <c r="G1152" s="66"/>
      <c r="H1152" s="66"/>
      <c r="I1152" s="66"/>
    </row>
    <row r="1153" spans="7:9" ht="12.75">
      <c r="G1153" s="66"/>
      <c r="H1153" s="66"/>
      <c r="I1153" s="66"/>
    </row>
    <row r="1154" spans="7:9" ht="12.75">
      <c r="G1154" s="66"/>
      <c r="H1154" s="66"/>
      <c r="I1154" s="66"/>
    </row>
    <row r="1155" spans="7:9" ht="12.75">
      <c r="G1155" s="66"/>
      <c r="H1155" s="66"/>
      <c r="I1155" s="66"/>
    </row>
    <row r="1156" spans="7:9" ht="12.75">
      <c r="G1156" s="66"/>
      <c r="H1156" s="66"/>
      <c r="I1156" s="66"/>
    </row>
    <row r="1157" spans="7:9" ht="12.75">
      <c r="G1157" s="66"/>
      <c r="H1157" s="66"/>
      <c r="I1157" s="66"/>
    </row>
    <row r="1158" spans="7:9" ht="12.75">
      <c r="G1158" s="66"/>
      <c r="H1158" s="66"/>
      <c r="I1158" s="66"/>
    </row>
    <row r="1159" spans="7:9" ht="12.75">
      <c r="G1159" s="66"/>
      <c r="H1159" s="66"/>
      <c r="I1159" s="66"/>
    </row>
    <row r="1160" spans="7:9" ht="12.75">
      <c r="G1160" s="66"/>
      <c r="H1160" s="66"/>
      <c r="I1160" s="66"/>
    </row>
    <row r="1161" spans="7:9" ht="12.75">
      <c r="G1161" s="66"/>
      <c r="H1161" s="66"/>
      <c r="I1161" s="66"/>
    </row>
    <row r="1162" spans="7:9" ht="12.75">
      <c r="G1162" s="66"/>
      <c r="H1162" s="66"/>
      <c r="I1162" s="66"/>
    </row>
    <row r="1163" spans="7:9" ht="12.75">
      <c r="G1163" s="66"/>
      <c r="H1163" s="66"/>
      <c r="I1163" s="66"/>
    </row>
    <row r="1164" spans="7:9" ht="12.75">
      <c r="G1164" s="66"/>
      <c r="H1164" s="66"/>
      <c r="I1164" s="66"/>
    </row>
    <row r="1165" spans="7:9" ht="12.75">
      <c r="G1165" s="66"/>
      <c r="H1165" s="66"/>
      <c r="I1165" s="66"/>
    </row>
    <row r="1166" spans="7:9" ht="12.75">
      <c r="G1166" s="66"/>
      <c r="H1166" s="66"/>
      <c r="I1166" s="66"/>
    </row>
    <row r="1167" spans="7:9" ht="12.75">
      <c r="G1167" s="66"/>
      <c r="H1167" s="66"/>
      <c r="I1167" s="66"/>
    </row>
    <row r="1168" spans="7:9" ht="12.75">
      <c r="G1168" s="66"/>
      <c r="H1168" s="66"/>
      <c r="I1168" s="66"/>
    </row>
    <row r="1169" spans="7:9" ht="12.75">
      <c r="G1169" s="66"/>
      <c r="H1169" s="66"/>
      <c r="I1169" s="66"/>
    </row>
    <row r="1170" spans="7:9" ht="12.75">
      <c r="G1170" s="66"/>
      <c r="H1170" s="66"/>
      <c r="I1170" s="66"/>
    </row>
    <row r="1171" spans="7:9" ht="12.75">
      <c r="G1171" s="66"/>
      <c r="H1171" s="66"/>
      <c r="I1171" s="66"/>
    </row>
    <row r="1172" spans="7:9" ht="12.75">
      <c r="G1172" s="66"/>
      <c r="H1172" s="66"/>
      <c r="I1172" s="66"/>
    </row>
    <row r="1173" spans="7:9" ht="12.75">
      <c r="G1173" s="66"/>
      <c r="H1173" s="66"/>
      <c r="I1173" s="66"/>
    </row>
    <row r="1174" spans="7:9" ht="12.75">
      <c r="G1174" s="66"/>
      <c r="H1174" s="66"/>
      <c r="I1174" s="66"/>
    </row>
    <row r="1175" spans="7:9" ht="12.75">
      <c r="G1175" s="66"/>
      <c r="H1175" s="66"/>
      <c r="I1175" s="66"/>
    </row>
    <row r="1176" spans="7:9" ht="12.75">
      <c r="G1176" s="66"/>
      <c r="H1176" s="66"/>
      <c r="I1176" s="66"/>
    </row>
    <row r="1177" spans="7:9" ht="12.75">
      <c r="G1177" s="66"/>
      <c r="H1177" s="66"/>
      <c r="I1177" s="66"/>
    </row>
    <row r="1178" spans="7:9" ht="12.75">
      <c r="G1178" s="66"/>
      <c r="H1178" s="66"/>
      <c r="I1178" s="66"/>
    </row>
    <row r="1179" spans="7:9" ht="12.75">
      <c r="G1179" s="66"/>
      <c r="H1179" s="66"/>
      <c r="I1179" s="66"/>
    </row>
    <row r="1180" spans="7:9" ht="12.75">
      <c r="G1180" s="66"/>
      <c r="H1180" s="66"/>
      <c r="I1180" s="66"/>
    </row>
    <row r="1181" spans="7:9" ht="12.75">
      <c r="G1181" s="66"/>
      <c r="H1181" s="66"/>
      <c r="I1181" s="66"/>
    </row>
    <row r="1182" spans="7:9" ht="12.75">
      <c r="G1182" s="66"/>
      <c r="H1182" s="66"/>
      <c r="I1182" s="66"/>
    </row>
    <row r="1183" spans="7:9" ht="12.75">
      <c r="G1183" s="66"/>
      <c r="H1183" s="66"/>
      <c r="I1183" s="66"/>
    </row>
    <row r="1184" spans="7:9" ht="12.75">
      <c r="G1184" s="66"/>
      <c r="H1184" s="66"/>
      <c r="I1184" s="66"/>
    </row>
    <row r="1185" spans="7:9" ht="12.75">
      <c r="G1185" s="66"/>
      <c r="H1185" s="66"/>
      <c r="I1185" s="66"/>
    </row>
    <row r="1186" spans="7:9" ht="12.75">
      <c r="G1186" s="66"/>
      <c r="H1186" s="66"/>
      <c r="I1186" s="66"/>
    </row>
    <row r="1187" spans="7:9" ht="12.75">
      <c r="G1187" s="66"/>
      <c r="H1187" s="66"/>
      <c r="I1187" s="66"/>
    </row>
    <row r="1188" spans="7:9" ht="12.75">
      <c r="G1188" s="66"/>
      <c r="H1188" s="66"/>
      <c r="I1188" s="66"/>
    </row>
    <row r="1189" spans="7:9" ht="12.75">
      <c r="G1189" s="66"/>
      <c r="H1189" s="66"/>
      <c r="I1189" s="66"/>
    </row>
    <row r="1190" spans="7:9" ht="12.75">
      <c r="G1190" s="66"/>
      <c r="H1190" s="66"/>
      <c r="I1190" s="66"/>
    </row>
    <row r="1191" spans="7:9" ht="12.75">
      <c r="G1191" s="66"/>
      <c r="H1191" s="66"/>
      <c r="I1191" s="66"/>
    </row>
    <row r="1192" spans="7:9" ht="12.75">
      <c r="G1192" s="66"/>
      <c r="H1192" s="66"/>
      <c r="I1192" s="66"/>
    </row>
    <row r="1193" spans="7:9" ht="12.75">
      <c r="G1193" s="66"/>
      <c r="H1193" s="66"/>
      <c r="I1193" s="66"/>
    </row>
    <row r="1194" spans="7:9" ht="12.75">
      <c r="G1194" s="66"/>
      <c r="H1194" s="66"/>
      <c r="I1194" s="66"/>
    </row>
    <row r="1195" spans="7:9" ht="12.75">
      <c r="G1195" s="66"/>
      <c r="H1195" s="66"/>
      <c r="I1195" s="66"/>
    </row>
    <row r="1196" spans="7:9" ht="12.75">
      <c r="G1196" s="66"/>
      <c r="H1196" s="66"/>
      <c r="I1196" s="66"/>
    </row>
    <row r="1197" spans="7:9" ht="12.75">
      <c r="G1197" s="66"/>
      <c r="H1197" s="66"/>
      <c r="I1197" s="66"/>
    </row>
    <row r="1198" spans="7:9" ht="12.75">
      <c r="G1198" s="66"/>
      <c r="H1198" s="66"/>
      <c r="I1198" s="66"/>
    </row>
    <row r="1199" spans="7:9" ht="12.75">
      <c r="G1199" s="66"/>
      <c r="H1199" s="66"/>
      <c r="I1199" s="66"/>
    </row>
    <row r="1200" spans="7:9" ht="12.75">
      <c r="G1200" s="66"/>
      <c r="H1200" s="66"/>
      <c r="I1200" s="66"/>
    </row>
    <row r="1201" spans="7:9" ht="12.75">
      <c r="G1201" s="66"/>
      <c r="H1201" s="66"/>
      <c r="I1201" s="66"/>
    </row>
    <row r="1202" spans="7:9" ht="12.75">
      <c r="G1202" s="66"/>
      <c r="H1202" s="66"/>
      <c r="I1202" s="66"/>
    </row>
    <row r="1203" spans="7:9" ht="12.75">
      <c r="G1203" s="66"/>
      <c r="H1203" s="66"/>
      <c r="I1203" s="66"/>
    </row>
    <row r="1204" spans="7:9" ht="12.75">
      <c r="G1204" s="66"/>
      <c r="H1204" s="66"/>
      <c r="I1204" s="66"/>
    </row>
    <row r="1205" spans="7:9" ht="12.75">
      <c r="G1205" s="66"/>
      <c r="H1205" s="66"/>
      <c r="I1205" s="66"/>
    </row>
    <row r="1206" spans="7:9" ht="12.75">
      <c r="G1206" s="66"/>
      <c r="H1206" s="66"/>
      <c r="I1206" s="66"/>
    </row>
    <row r="1207" spans="7:9" ht="12.75">
      <c r="G1207" s="66"/>
      <c r="H1207" s="66"/>
      <c r="I1207" s="66"/>
    </row>
    <row r="1208" spans="7:9" ht="12.75">
      <c r="G1208" s="66"/>
      <c r="H1208" s="66"/>
      <c r="I1208" s="66"/>
    </row>
    <row r="1209" spans="7:9" ht="12.75">
      <c r="G1209" s="66"/>
      <c r="H1209" s="66"/>
      <c r="I1209" s="66"/>
    </row>
    <row r="1210" spans="7:9" ht="12.75">
      <c r="G1210" s="66"/>
      <c r="H1210" s="66"/>
      <c r="I1210" s="66"/>
    </row>
    <row r="1211" spans="7:9" ht="12.75">
      <c r="G1211" s="66"/>
      <c r="H1211" s="66"/>
      <c r="I1211" s="66"/>
    </row>
    <row r="1212" spans="7:9" ht="12.75">
      <c r="G1212" s="66"/>
      <c r="H1212" s="66"/>
      <c r="I1212" s="66"/>
    </row>
    <row r="1213" spans="7:9" ht="12.75">
      <c r="G1213" s="66"/>
      <c r="H1213" s="66"/>
      <c r="I1213" s="66"/>
    </row>
    <row r="1214" spans="7:9" ht="12.75">
      <c r="G1214" s="66"/>
      <c r="H1214" s="66"/>
      <c r="I1214" s="66"/>
    </row>
    <row r="1215" spans="7:9" ht="12.75">
      <c r="G1215" s="66"/>
      <c r="H1215" s="66"/>
      <c r="I1215" s="66"/>
    </row>
    <row r="1216" spans="7:9" ht="12.75">
      <c r="G1216" s="66"/>
      <c r="H1216" s="66"/>
      <c r="I1216" s="66"/>
    </row>
    <row r="1217" spans="7:9" ht="12.75">
      <c r="G1217" s="66"/>
      <c r="H1217" s="66"/>
      <c r="I1217" s="66"/>
    </row>
    <row r="1218" spans="7:9" ht="12.75">
      <c r="G1218" s="66"/>
      <c r="H1218" s="66"/>
      <c r="I1218" s="66"/>
    </row>
    <row r="1219" spans="7:9" ht="12.75">
      <c r="G1219" s="66"/>
      <c r="H1219" s="66"/>
      <c r="I1219" s="66"/>
    </row>
    <row r="1220" spans="7:9" ht="12.75">
      <c r="G1220" s="66"/>
      <c r="H1220" s="66"/>
      <c r="I1220" s="66"/>
    </row>
    <row r="1221" spans="7:9" ht="12.75">
      <c r="G1221" s="66"/>
      <c r="H1221" s="66"/>
      <c r="I1221" s="66"/>
    </row>
    <row r="1222" spans="7:9" ht="12.75">
      <c r="G1222" s="66"/>
      <c r="H1222" s="66"/>
      <c r="I1222" s="66"/>
    </row>
    <row r="1223" spans="7:9" ht="12.75">
      <c r="G1223" s="66"/>
      <c r="H1223" s="66"/>
      <c r="I1223" s="66"/>
    </row>
    <row r="1224" spans="7:9" ht="12.75">
      <c r="G1224" s="66"/>
      <c r="H1224" s="66"/>
      <c r="I1224" s="66"/>
    </row>
    <row r="1225" spans="7:9" ht="12.75">
      <c r="G1225" s="66"/>
      <c r="H1225" s="66"/>
      <c r="I1225" s="66"/>
    </row>
    <row r="1226" spans="7:9" ht="12.75">
      <c r="G1226" s="66"/>
      <c r="H1226" s="66"/>
      <c r="I1226" s="66"/>
    </row>
    <row r="1227" spans="7:9" ht="12.75">
      <c r="G1227" s="66"/>
      <c r="H1227" s="66"/>
      <c r="I1227" s="66"/>
    </row>
    <row r="1228" spans="7:9" ht="12.75">
      <c r="G1228" s="66"/>
      <c r="H1228" s="66"/>
      <c r="I1228" s="66"/>
    </row>
    <row r="1229" spans="7:9" ht="12.75">
      <c r="G1229" s="66"/>
      <c r="H1229" s="66"/>
      <c r="I1229" s="66"/>
    </row>
    <row r="1230" spans="7:9" ht="12.75">
      <c r="G1230" s="66"/>
      <c r="H1230" s="66"/>
      <c r="I1230" s="66"/>
    </row>
    <row r="1231" spans="7:9" ht="12.75">
      <c r="G1231" s="66"/>
      <c r="H1231" s="66"/>
      <c r="I1231" s="66"/>
    </row>
    <row r="1232" spans="7:9" ht="12.75">
      <c r="G1232" s="66"/>
      <c r="H1232" s="66"/>
      <c r="I1232" s="66"/>
    </row>
    <row r="1233" spans="7:9" ht="12.75">
      <c r="G1233" s="66"/>
      <c r="H1233" s="66"/>
      <c r="I1233" s="66"/>
    </row>
    <row r="1234" spans="7:9" ht="12.75">
      <c r="G1234" s="66"/>
      <c r="H1234" s="66"/>
      <c r="I1234" s="66"/>
    </row>
    <row r="1235" spans="7:9" ht="12.75">
      <c r="G1235" s="66"/>
      <c r="H1235" s="66"/>
      <c r="I1235" s="66"/>
    </row>
    <row r="1236" spans="7:9" ht="12.75">
      <c r="G1236" s="66"/>
      <c r="H1236" s="66"/>
      <c r="I1236" s="66"/>
    </row>
    <row r="1237" spans="7:9" ht="12.75">
      <c r="G1237" s="66"/>
      <c r="H1237" s="66"/>
      <c r="I1237" s="66"/>
    </row>
    <row r="1238" spans="7:9" ht="12.75">
      <c r="G1238" s="66"/>
      <c r="H1238" s="66"/>
      <c r="I1238" s="66"/>
    </row>
    <row r="1239" spans="7:9" ht="12.75">
      <c r="G1239" s="66"/>
      <c r="H1239" s="66"/>
      <c r="I1239" s="66"/>
    </row>
    <row r="1240" spans="7:9" ht="12.75">
      <c r="G1240" s="66"/>
      <c r="H1240" s="66"/>
      <c r="I1240" s="66"/>
    </row>
    <row r="1241" spans="7:9" ht="12.75">
      <c r="G1241" s="66"/>
      <c r="H1241" s="66"/>
      <c r="I1241" s="66"/>
    </row>
    <row r="1242" spans="7:9" ht="12.75">
      <c r="G1242" s="66"/>
      <c r="H1242" s="66"/>
      <c r="I1242" s="66"/>
    </row>
    <row r="1243" spans="7:9" ht="12.75">
      <c r="G1243" s="66"/>
      <c r="H1243" s="66"/>
      <c r="I1243" s="66"/>
    </row>
    <row r="1244" spans="7:9" ht="12.75">
      <c r="G1244" s="66"/>
      <c r="H1244" s="66"/>
      <c r="I1244" s="66"/>
    </row>
    <row r="1245" spans="7:9" ht="12.75">
      <c r="G1245" s="66"/>
      <c r="H1245" s="66"/>
      <c r="I1245" s="66"/>
    </row>
    <row r="1246" spans="7:9" ht="12.75">
      <c r="G1246" s="66"/>
      <c r="H1246" s="66"/>
      <c r="I1246" s="66"/>
    </row>
    <row r="1247" spans="7:9" ht="12.75">
      <c r="G1247" s="66"/>
      <c r="H1247" s="66"/>
      <c r="I1247" s="66"/>
    </row>
    <row r="1248" spans="7:9" ht="12.75">
      <c r="G1248" s="66"/>
      <c r="H1248" s="66"/>
      <c r="I1248" s="66"/>
    </row>
    <row r="1249" spans="7:9" ht="12.75">
      <c r="G1249" s="66"/>
      <c r="H1249" s="66"/>
      <c r="I1249" s="66"/>
    </row>
    <row r="1250" spans="7:9" ht="12.75">
      <c r="G1250" s="66"/>
      <c r="H1250" s="66"/>
      <c r="I1250" s="66"/>
    </row>
    <row r="1251" spans="7:9" ht="12.75">
      <c r="G1251" s="66"/>
      <c r="H1251" s="66"/>
      <c r="I1251" s="66"/>
    </row>
    <row r="1252" spans="7:9" ht="12.75">
      <c r="G1252" s="66"/>
      <c r="H1252" s="66"/>
      <c r="I1252" s="66"/>
    </row>
    <row r="1253" spans="7:9" ht="12.75">
      <c r="G1253" s="66"/>
      <c r="H1253" s="66"/>
      <c r="I1253" s="66"/>
    </row>
    <row r="1254" spans="7:9" ht="12.75">
      <c r="G1254" s="66"/>
      <c r="H1254" s="66"/>
      <c r="I1254" s="66"/>
    </row>
    <row r="1255" spans="7:9" ht="12.75">
      <c r="G1255" s="66"/>
      <c r="H1255" s="66"/>
      <c r="I1255" s="66"/>
    </row>
    <row r="1256" spans="7:9" ht="12.75">
      <c r="G1256" s="66"/>
      <c r="H1256" s="66"/>
      <c r="I1256" s="66"/>
    </row>
    <row r="1257" spans="7:9" ht="12.75">
      <c r="G1257" s="66"/>
      <c r="H1257" s="66"/>
      <c r="I1257" s="66"/>
    </row>
    <row r="1258" spans="7:9" ht="12.75">
      <c r="G1258" s="66"/>
      <c r="H1258" s="66"/>
      <c r="I1258" s="66"/>
    </row>
    <row r="1259" spans="7:9" ht="12.75">
      <c r="G1259" s="66"/>
      <c r="H1259" s="66"/>
      <c r="I1259" s="66"/>
    </row>
    <row r="1260" spans="7:9" ht="12.75">
      <c r="G1260" s="66"/>
      <c r="H1260" s="66"/>
      <c r="I1260" s="66"/>
    </row>
    <row r="1261" spans="7:9" ht="12.75">
      <c r="G1261" s="66"/>
      <c r="H1261" s="66"/>
      <c r="I1261" s="66"/>
    </row>
    <row r="1262" spans="7:9" ht="12.75">
      <c r="G1262" s="66"/>
      <c r="H1262" s="66"/>
      <c r="I1262" s="66"/>
    </row>
    <row r="1263" spans="7:9" ht="12.75">
      <c r="G1263" s="66"/>
      <c r="H1263" s="66"/>
      <c r="I1263" s="66"/>
    </row>
    <row r="1264" spans="7:9" ht="12.75">
      <c r="G1264" s="66"/>
      <c r="H1264" s="66"/>
      <c r="I1264" s="66"/>
    </row>
    <row r="1265" spans="7:9" ht="12.75">
      <c r="G1265" s="66"/>
      <c r="H1265" s="66"/>
      <c r="I1265" s="66"/>
    </row>
    <row r="1266" spans="7:9" ht="12.75">
      <c r="G1266" s="66"/>
      <c r="H1266" s="66"/>
      <c r="I1266" s="66"/>
    </row>
    <row r="1267" spans="7:9" ht="12.75">
      <c r="G1267" s="66"/>
      <c r="H1267" s="66"/>
      <c r="I1267" s="66"/>
    </row>
    <row r="1268" spans="7:9" ht="12.75">
      <c r="G1268" s="66"/>
      <c r="H1268" s="66"/>
      <c r="I1268" s="66"/>
    </row>
    <row r="1269" spans="7:9" ht="12.75">
      <c r="G1269" s="66"/>
      <c r="H1269" s="66"/>
      <c r="I1269" s="66"/>
    </row>
    <row r="1270" spans="7:9" ht="12.75">
      <c r="G1270" s="66"/>
      <c r="H1270" s="66"/>
      <c r="I1270" s="66"/>
    </row>
    <row r="1271" spans="7:9" ht="12.75">
      <c r="G1271" s="66"/>
      <c r="H1271" s="66"/>
      <c r="I1271" s="66"/>
    </row>
    <row r="1272" spans="7:9" ht="12.75">
      <c r="G1272" s="66"/>
      <c r="H1272" s="66"/>
      <c r="I1272" s="66"/>
    </row>
    <row r="1273" spans="7:9" ht="12.75">
      <c r="G1273" s="66"/>
      <c r="H1273" s="66"/>
      <c r="I1273" s="66"/>
    </row>
    <row r="1274" spans="7:9" ht="12.75">
      <c r="G1274" s="66"/>
      <c r="H1274" s="66"/>
      <c r="I1274" s="66"/>
    </row>
    <row r="1275" spans="7:9" ht="12.75">
      <c r="G1275" s="66"/>
      <c r="H1275" s="66"/>
      <c r="I1275" s="66"/>
    </row>
    <row r="1276" spans="7:9" ht="12.75">
      <c r="G1276" s="66"/>
      <c r="H1276" s="66"/>
      <c r="I1276" s="66"/>
    </row>
    <row r="1277" spans="7:9" ht="12.75">
      <c r="G1277" s="66"/>
      <c r="H1277" s="66"/>
      <c r="I1277" s="66"/>
    </row>
    <row r="1278" spans="7:9" ht="12.75">
      <c r="G1278" s="66"/>
      <c r="H1278" s="66"/>
      <c r="I1278" s="66"/>
    </row>
    <row r="1279" spans="7:9" ht="12.75">
      <c r="G1279" s="66"/>
      <c r="H1279" s="66"/>
      <c r="I1279" s="66"/>
    </row>
    <row r="1280" spans="7:9" ht="12.75">
      <c r="G1280" s="66"/>
      <c r="H1280" s="66"/>
      <c r="I1280" s="66"/>
    </row>
    <row r="1281" spans="7:9" ht="12.75">
      <c r="G1281" s="66"/>
      <c r="H1281" s="66"/>
      <c r="I1281" s="66"/>
    </row>
    <row r="1282" spans="7:9" ht="12.75">
      <c r="G1282" s="66"/>
      <c r="H1282" s="66"/>
      <c r="I1282" s="66"/>
    </row>
    <row r="1283" spans="7:9" ht="12.75">
      <c r="G1283" s="66"/>
      <c r="H1283" s="66"/>
      <c r="I1283" s="66"/>
    </row>
    <row r="1284" spans="7:9" ht="12.75">
      <c r="G1284" s="66"/>
      <c r="H1284" s="66"/>
      <c r="I1284" s="66"/>
    </row>
    <row r="1285" spans="7:9" ht="12.75">
      <c r="G1285" s="66"/>
      <c r="H1285" s="66"/>
      <c r="I1285" s="66"/>
    </row>
    <row r="1286" spans="7:9" ht="12.75">
      <c r="G1286" s="66"/>
      <c r="H1286" s="66"/>
      <c r="I1286" s="66"/>
    </row>
    <row r="1287" spans="7:9" ht="12.75">
      <c r="G1287" s="66"/>
      <c r="H1287" s="66"/>
      <c r="I1287" s="66"/>
    </row>
    <row r="1288" spans="7:9" ht="12.75">
      <c r="G1288" s="66"/>
      <c r="H1288" s="66"/>
      <c r="I1288" s="66"/>
    </row>
    <row r="1289" spans="7:9" ht="12.75">
      <c r="G1289" s="66"/>
      <c r="H1289" s="66"/>
      <c r="I1289" s="66"/>
    </row>
    <row r="1290" spans="7:9" ht="12.75">
      <c r="G1290" s="66"/>
      <c r="H1290" s="66"/>
      <c r="I1290" s="66"/>
    </row>
    <row r="1291" spans="7:9" ht="12.75">
      <c r="G1291" s="66"/>
      <c r="H1291" s="66"/>
      <c r="I1291" s="66"/>
    </row>
    <row r="1292" spans="7:9" ht="12.75">
      <c r="G1292" s="66"/>
      <c r="H1292" s="66"/>
      <c r="I1292" s="66"/>
    </row>
    <row r="1293" spans="7:9" ht="12.75">
      <c r="G1293" s="66"/>
      <c r="H1293" s="66"/>
      <c r="I1293" s="66"/>
    </row>
    <row r="1294" spans="7:9" ht="12.75">
      <c r="G1294" s="66"/>
      <c r="H1294" s="66"/>
      <c r="I1294" s="66"/>
    </row>
    <row r="1295" spans="7:9" ht="12.75">
      <c r="G1295" s="66"/>
      <c r="H1295" s="66"/>
      <c r="I1295" s="66"/>
    </row>
    <row r="1296" spans="7:9" ht="12.75">
      <c r="G1296" s="66"/>
      <c r="H1296" s="66"/>
      <c r="I1296" s="66"/>
    </row>
    <row r="1297" spans="7:9" ht="12.75">
      <c r="G1297" s="66"/>
      <c r="H1297" s="66"/>
      <c r="I1297" s="66"/>
    </row>
    <row r="1298" spans="7:9" ht="12.75">
      <c r="G1298" s="66"/>
      <c r="H1298" s="66"/>
      <c r="I1298" s="66"/>
    </row>
    <row r="1299" spans="7:9" ht="12.75">
      <c r="G1299" s="66"/>
      <c r="H1299" s="66"/>
      <c r="I1299" s="66"/>
    </row>
    <row r="1300" spans="7:9" ht="12.75">
      <c r="G1300" s="66"/>
      <c r="H1300" s="66"/>
      <c r="I1300" s="66"/>
    </row>
    <row r="1301" spans="7:9" ht="12.75">
      <c r="G1301" s="66"/>
      <c r="H1301" s="66"/>
      <c r="I1301" s="66"/>
    </row>
    <row r="1302" spans="7:9" ht="12.75">
      <c r="G1302" s="66"/>
      <c r="H1302" s="66"/>
      <c r="I1302" s="66"/>
    </row>
    <row r="1303" spans="7:9" ht="12.75">
      <c r="G1303" s="66"/>
      <c r="H1303" s="66"/>
      <c r="I1303" s="66"/>
    </row>
    <row r="1304" spans="7:9" ht="12.75">
      <c r="G1304" s="66"/>
      <c r="H1304" s="66"/>
      <c r="I1304" s="66"/>
    </row>
    <row r="1305" spans="7:9" ht="12.75">
      <c r="G1305" s="66"/>
      <c r="H1305" s="66"/>
      <c r="I1305" s="66"/>
    </row>
    <row r="1306" spans="7:9" ht="12.75">
      <c r="G1306" s="66"/>
      <c r="H1306" s="66"/>
      <c r="I1306" s="66"/>
    </row>
    <row r="1307" spans="7:9" ht="12.75">
      <c r="G1307" s="66"/>
      <c r="H1307" s="66"/>
      <c r="I1307" s="66"/>
    </row>
    <row r="1308" spans="7:9" ht="12.75">
      <c r="G1308" s="66"/>
      <c r="H1308" s="66"/>
      <c r="I1308" s="66"/>
    </row>
    <row r="1309" spans="7:9" ht="12.75">
      <c r="G1309" s="66"/>
      <c r="H1309" s="66"/>
      <c r="I1309" s="66"/>
    </row>
    <row r="1310" spans="7:9" ht="12.75">
      <c r="G1310" s="66"/>
      <c r="H1310" s="66"/>
      <c r="I1310" s="66"/>
    </row>
    <row r="1311" spans="7:9" ht="12.75">
      <c r="G1311" s="66"/>
      <c r="H1311" s="66"/>
      <c r="I1311" s="66"/>
    </row>
    <row r="1312" spans="7:9" ht="12.75">
      <c r="G1312" s="66"/>
      <c r="H1312" s="66"/>
      <c r="I1312" s="66"/>
    </row>
    <row r="1313" spans="7:9" ht="12.75">
      <c r="G1313" s="66"/>
      <c r="H1313" s="66"/>
      <c r="I1313" s="66"/>
    </row>
    <row r="1314" spans="7:9" ht="12.75">
      <c r="G1314" s="66"/>
      <c r="H1314" s="66"/>
      <c r="I1314" s="66"/>
    </row>
    <row r="1315" spans="7:9" ht="12.75">
      <c r="G1315" s="66"/>
      <c r="H1315" s="66"/>
      <c r="I1315" s="66"/>
    </row>
    <row r="1316" spans="7:9" ht="12.75">
      <c r="G1316" s="66"/>
      <c r="H1316" s="66"/>
      <c r="I1316" s="66"/>
    </row>
    <row r="1317" spans="7:9" ht="12.75">
      <c r="G1317" s="66"/>
      <c r="H1317" s="66"/>
      <c r="I1317" s="66"/>
    </row>
    <row r="1318" spans="7:9" ht="12.75">
      <c r="G1318" s="66"/>
      <c r="H1318" s="66"/>
      <c r="I1318" s="66"/>
    </row>
    <row r="1319" spans="7:9" ht="12.75">
      <c r="G1319" s="66"/>
      <c r="H1319" s="66"/>
      <c r="I1319" s="66"/>
    </row>
    <row r="1320" spans="7:9" ht="12.75">
      <c r="G1320" s="66"/>
      <c r="H1320" s="66"/>
      <c r="I1320" s="66"/>
    </row>
    <row r="1321" spans="7:9" ht="12.75">
      <c r="G1321" s="66"/>
      <c r="H1321" s="66"/>
      <c r="I1321" s="66"/>
    </row>
    <row r="1322" spans="7:9" ht="12.75">
      <c r="G1322" s="66"/>
      <c r="H1322" s="66"/>
      <c r="I1322" s="66"/>
    </row>
    <row r="1323" spans="7:9" ht="12.75">
      <c r="G1323" s="66"/>
      <c r="H1323" s="66"/>
      <c r="I1323" s="66"/>
    </row>
    <row r="1324" spans="7:9" ht="12.75">
      <c r="G1324" s="66"/>
      <c r="H1324" s="66"/>
      <c r="I1324" s="66"/>
    </row>
    <row r="1325" spans="7:9" ht="12.75">
      <c r="G1325" s="66"/>
      <c r="H1325" s="66"/>
      <c r="I1325" s="66"/>
    </row>
    <row r="1326" spans="7:9" ht="12.75">
      <c r="G1326" s="66"/>
      <c r="H1326" s="66"/>
      <c r="I1326" s="66"/>
    </row>
    <row r="1327" spans="7:9" ht="12.75">
      <c r="G1327" s="66"/>
      <c r="H1327" s="66"/>
      <c r="I1327" s="66"/>
    </row>
    <row r="1328" spans="7:9" ht="12.75">
      <c r="G1328" s="66"/>
      <c r="H1328" s="66"/>
      <c r="I1328" s="66"/>
    </row>
    <row r="1329" spans="7:9" ht="12.75">
      <c r="G1329" s="66"/>
      <c r="H1329" s="66"/>
      <c r="I1329" s="66"/>
    </row>
    <row r="1330" spans="7:9" ht="12.75">
      <c r="G1330" s="66"/>
      <c r="H1330" s="66"/>
      <c r="I1330" s="66"/>
    </row>
    <row r="1331" spans="7:9" ht="12.75">
      <c r="G1331" s="66"/>
      <c r="H1331" s="66"/>
      <c r="I1331" s="66"/>
    </row>
    <row r="1332" spans="7:9" ht="12.75">
      <c r="G1332" s="66"/>
      <c r="H1332" s="66"/>
      <c r="I1332" s="66"/>
    </row>
    <row r="1333" spans="7:9" ht="12.75">
      <c r="G1333" s="66"/>
      <c r="H1333" s="66"/>
      <c r="I1333" s="66"/>
    </row>
    <row r="1334" spans="7:9" ht="12.75">
      <c r="G1334" s="66"/>
      <c r="H1334" s="66"/>
      <c r="I1334" s="66"/>
    </row>
    <row r="1335" spans="7:9" ht="12.75">
      <c r="G1335" s="66"/>
      <c r="H1335" s="66"/>
      <c r="I1335" s="66"/>
    </row>
    <row r="1336" spans="7:9" ht="12.75">
      <c r="G1336" s="66"/>
      <c r="H1336" s="66"/>
      <c r="I1336" s="66"/>
    </row>
    <row r="1337" spans="7:9" ht="12.75">
      <c r="G1337" s="66"/>
      <c r="H1337" s="66"/>
      <c r="I1337" s="66"/>
    </row>
    <row r="1338" spans="7:9" ht="12.75">
      <c r="G1338" s="66"/>
      <c r="H1338" s="66"/>
      <c r="I1338" s="66"/>
    </row>
    <row r="1339" spans="7:9" ht="12.75">
      <c r="G1339" s="66"/>
      <c r="H1339" s="66"/>
      <c r="I1339" s="66"/>
    </row>
    <row r="1340" spans="7:9" ht="12.75">
      <c r="G1340" s="66"/>
      <c r="H1340" s="66"/>
      <c r="I1340" s="66"/>
    </row>
    <row r="1341" spans="7:9" ht="12.75">
      <c r="G1341" s="66"/>
      <c r="H1341" s="66"/>
      <c r="I1341" s="66"/>
    </row>
    <row r="1342" spans="7:9" ht="12.75">
      <c r="G1342" s="66"/>
      <c r="H1342" s="66"/>
      <c r="I1342" s="66"/>
    </row>
    <row r="1343" spans="7:9" ht="12.75">
      <c r="G1343" s="66"/>
      <c r="H1343" s="66"/>
      <c r="I1343" s="66"/>
    </row>
    <row r="1344" spans="7:9" ht="12.75">
      <c r="G1344" s="66"/>
      <c r="H1344" s="66"/>
      <c r="I1344" s="66"/>
    </row>
    <row r="1345" spans="7:9" ht="12.75">
      <c r="G1345" s="66"/>
      <c r="H1345" s="66"/>
      <c r="I1345" s="66"/>
    </row>
    <row r="1346" spans="7:9" ht="12.75">
      <c r="G1346" s="66"/>
      <c r="H1346" s="66"/>
      <c r="I1346" s="66"/>
    </row>
    <row r="1347" spans="7:9" ht="12.75">
      <c r="G1347" s="66"/>
      <c r="H1347" s="66"/>
      <c r="I1347" s="66"/>
    </row>
    <row r="1348" spans="7:9" ht="12.75">
      <c r="G1348" s="66"/>
      <c r="H1348" s="66"/>
      <c r="I1348" s="66"/>
    </row>
    <row r="1349" spans="7:9" ht="12.75">
      <c r="G1349" s="66"/>
      <c r="H1349" s="66"/>
      <c r="I1349" s="66"/>
    </row>
    <row r="1350" spans="7:9" ht="12.75">
      <c r="G1350" s="66"/>
      <c r="H1350" s="66"/>
      <c r="I1350" s="66"/>
    </row>
    <row r="1351" spans="7:9" ht="12.75">
      <c r="G1351" s="66"/>
      <c r="H1351" s="66"/>
      <c r="I1351" s="66"/>
    </row>
    <row r="1352" spans="7:9" ht="12.75">
      <c r="G1352" s="66"/>
      <c r="H1352" s="66"/>
      <c r="I1352" s="66"/>
    </row>
    <row r="1353" spans="7:9" ht="12.75">
      <c r="G1353" s="66"/>
      <c r="H1353" s="66"/>
      <c r="I1353" s="66"/>
    </row>
    <row r="1354" spans="7:9" ht="12.75">
      <c r="G1354" s="66"/>
      <c r="H1354" s="66"/>
      <c r="I1354" s="66"/>
    </row>
    <row r="1355" spans="7:9" ht="12.75">
      <c r="G1355" s="66"/>
      <c r="H1355" s="66"/>
      <c r="I1355" s="66"/>
    </row>
    <row r="1356" spans="7:9" ht="12.75">
      <c r="G1356" s="66"/>
      <c r="H1356" s="66"/>
      <c r="I1356" s="66"/>
    </row>
    <row r="1357" spans="7:9" ht="12.75">
      <c r="G1357" s="66"/>
      <c r="H1357" s="66"/>
      <c r="I1357" s="66"/>
    </row>
    <row r="1358" spans="7:9" ht="12.75">
      <c r="G1358" s="66"/>
      <c r="H1358" s="66"/>
      <c r="I1358" s="66"/>
    </row>
    <row r="1359" spans="7:9" ht="12.75">
      <c r="G1359" s="66"/>
      <c r="H1359" s="66"/>
      <c r="I1359" s="66"/>
    </row>
    <row r="1360" spans="7:9" ht="12.75">
      <c r="G1360" s="66"/>
      <c r="H1360" s="66"/>
      <c r="I1360" s="66"/>
    </row>
    <row r="1361" spans="7:9" ht="12.75">
      <c r="G1361" s="66"/>
      <c r="H1361" s="66"/>
      <c r="I1361" s="66"/>
    </row>
    <row r="1362" spans="7:9" ht="12.75">
      <c r="G1362" s="66"/>
      <c r="H1362" s="66"/>
      <c r="I1362" s="66"/>
    </row>
    <row r="1363" spans="7:9" ht="12.75">
      <c r="G1363" s="66"/>
      <c r="H1363" s="66"/>
      <c r="I1363" s="66"/>
    </row>
    <row r="1364" spans="7:9" ht="12.75">
      <c r="G1364" s="66"/>
      <c r="H1364" s="66"/>
      <c r="I1364" s="66"/>
    </row>
    <row r="1365" spans="7:9" ht="12.75">
      <c r="G1365" s="66"/>
      <c r="H1365" s="66"/>
      <c r="I1365" s="66"/>
    </row>
    <row r="1366" spans="7:9" ht="12.75">
      <c r="G1366" s="66"/>
      <c r="H1366" s="66"/>
      <c r="I1366" s="66"/>
    </row>
    <row r="1367" spans="7:9" ht="12.75">
      <c r="G1367" s="66"/>
      <c r="H1367" s="66"/>
      <c r="I1367" s="66"/>
    </row>
    <row r="1368" spans="7:9" ht="12.75">
      <c r="G1368" s="66"/>
      <c r="H1368" s="66"/>
      <c r="I1368" s="66"/>
    </row>
    <row r="1369" spans="7:9" ht="12.75">
      <c r="G1369" s="66"/>
      <c r="H1369" s="66"/>
      <c r="I1369" s="66"/>
    </row>
    <row r="1370" spans="7:9" ht="12.75">
      <c r="G1370" s="66"/>
      <c r="H1370" s="66"/>
      <c r="I1370" s="66"/>
    </row>
    <row r="1371" spans="7:9" ht="12.75">
      <c r="G1371" s="66"/>
      <c r="H1371" s="66"/>
      <c r="I1371" s="66"/>
    </row>
    <row r="1372" spans="7:9" ht="12.75">
      <c r="G1372" s="66"/>
      <c r="H1372" s="66"/>
      <c r="I1372" s="66"/>
    </row>
    <row r="1373" spans="7:9" ht="12.75">
      <c r="G1373" s="66"/>
      <c r="H1373" s="66"/>
      <c r="I1373" s="66"/>
    </row>
    <row r="1374" spans="7:9" ht="12.75">
      <c r="G1374" s="66"/>
      <c r="H1374" s="66"/>
      <c r="I1374" s="66"/>
    </row>
    <row r="1375" spans="7:9" ht="12.75">
      <c r="G1375" s="66"/>
      <c r="H1375" s="66"/>
      <c r="I1375" s="66"/>
    </row>
    <row r="1376" spans="7:9" ht="12.75">
      <c r="G1376" s="66"/>
      <c r="H1376" s="66"/>
      <c r="I1376" s="66"/>
    </row>
    <row r="1377" spans="7:9" ht="12.75">
      <c r="G1377" s="66"/>
      <c r="H1377" s="66"/>
      <c r="I1377" s="66"/>
    </row>
    <row r="1378" spans="7:9" ht="12.75">
      <c r="G1378" s="66"/>
      <c r="H1378" s="66"/>
      <c r="I1378" s="66"/>
    </row>
    <row r="1379" spans="7:9" ht="12.75">
      <c r="G1379" s="66"/>
      <c r="H1379" s="66"/>
      <c r="I1379" s="66"/>
    </row>
    <row r="1380" spans="7:9" ht="12.75">
      <c r="G1380" s="66"/>
      <c r="H1380" s="66"/>
      <c r="I1380" s="66"/>
    </row>
    <row r="1381" spans="7:9" ht="12.75">
      <c r="G1381" s="66"/>
      <c r="H1381" s="66"/>
      <c r="I1381" s="66"/>
    </row>
    <row r="1382" spans="7:9" ht="12.75">
      <c r="G1382" s="66"/>
      <c r="H1382" s="66"/>
      <c r="I1382" s="66"/>
    </row>
    <row r="1383" spans="7:9" ht="12.75">
      <c r="G1383" s="66"/>
      <c r="H1383" s="66"/>
      <c r="I1383" s="66"/>
    </row>
    <row r="1384" spans="7:9" ht="12.75">
      <c r="G1384" s="66"/>
      <c r="H1384" s="66"/>
      <c r="I1384" s="66"/>
    </row>
    <row r="1385" spans="7:9" ht="12.75">
      <c r="G1385" s="66"/>
      <c r="H1385" s="66"/>
      <c r="I1385" s="66"/>
    </row>
    <row r="1386" spans="7:9" ht="12.75">
      <c r="G1386" s="66"/>
      <c r="H1386" s="66"/>
      <c r="I1386" s="66"/>
    </row>
    <row r="1387" spans="7:9" ht="12.75">
      <c r="G1387" s="66"/>
      <c r="H1387" s="66"/>
      <c r="I1387" s="66"/>
    </row>
    <row r="1388" spans="7:9" ht="12.75">
      <c r="G1388" s="66"/>
      <c r="H1388" s="66"/>
      <c r="I1388" s="66"/>
    </row>
    <row r="1389" spans="7:9" ht="12.75">
      <c r="G1389" s="66"/>
      <c r="H1389" s="66"/>
      <c r="I1389" s="66"/>
    </row>
    <row r="1390" spans="7:9" ht="12.75">
      <c r="G1390" s="66"/>
      <c r="H1390" s="66"/>
      <c r="I1390" s="66"/>
    </row>
    <row r="1391" spans="7:9" ht="12.75">
      <c r="G1391" s="66"/>
      <c r="H1391" s="66"/>
      <c r="I1391" s="66"/>
    </row>
    <row r="1392" spans="7:9" ht="12.75">
      <c r="G1392" s="66"/>
      <c r="H1392" s="66"/>
      <c r="I1392" s="66"/>
    </row>
    <row r="1393" spans="7:9" ht="12.75">
      <c r="G1393" s="66"/>
      <c r="H1393" s="66"/>
      <c r="I1393" s="66"/>
    </row>
    <row r="1394" spans="7:9" ht="12.75">
      <c r="G1394" s="66"/>
      <c r="H1394" s="66"/>
      <c r="I1394" s="66"/>
    </row>
    <row r="1395" spans="7:9" ht="12.75">
      <c r="G1395" s="66"/>
      <c r="H1395" s="66"/>
      <c r="I1395" s="66"/>
    </row>
    <row r="1396" spans="7:9" ht="12.75">
      <c r="G1396" s="66"/>
      <c r="H1396" s="66"/>
      <c r="I1396" s="66"/>
    </row>
    <row r="1397" spans="7:9" ht="12.75">
      <c r="G1397" s="66"/>
      <c r="H1397" s="66"/>
      <c r="I1397" s="66"/>
    </row>
    <row r="1398" spans="7:9" ht="12.75">
      <c r="G1398" s="66"/>
      <c r="H1398" s="66"/>
      <c r="I1398" s="66"/>
    </row>
    <row r="1399" spans="7:9" ht="12.75">
      <c r="G1399" s="66"/>
      <c r="H1399" s="66"/>
      <c r="I1399" s="66"/>
    </row>
    <row r="1400" spans="7:9" ht="12.75">
      <c r="G1400" s="66"/>
      <c r="H1400" s="66"/>
      <c r="I1400" s="66"/>
    </row>
    <row r="1401" spans="7:9" ht="12.75">
      <c r="G1401" s="66"/>
      <c r="H1401" s="66"/>
      <c r="I1401" s="66"/>
    </row>
    <row r="1402" spans="7:9" ht="12.75">
      <c r="G1402" s="66"/>
      <c r="H1402" s="66"/>
      <c r="I1402" s="66"/>
    </row>
    <row r="1403" spans="7:9" ht="12.75">
      <c r="G1403" s="66"/>
      <c r="H1403" s="66"/>
      <c r="I1403" s="66"/>
    </row>
    <row r="1404" spans="7:9" ht="12.75">
      <c r="G1404" s="66"/>
      <c r="H1404" s="66"/>
      <c r="I1404" s="66"/>
    </row>
    <row r="1405" spans="7:9" ht="12.75">
      <c r="G1405" s="66"/>
      <c r="H1405" s="66"/>
      <c r="I1405" s="66"/>
    </row>
    <row r="1406" spans="7:9" ht="12.75">
      <c r="G1406" s="66"/>
      <c r="H1406" s="66"/>
      <c r="I1406" s="66"/>
    </row>
    <row r="1407" spans="7:9" ht="12.75">
      <c r="G1407" s="66"/>
      <c r="H1407" s="66"/>
      <c r="I1407" s="66"/>
    </row>
    <row r="1408" spans="7:9" ht="12.75">
      <c r="G1408" s="66"/>
      <c r="H1408" s="66"/>
      <c r="I1408" s="66"/>
    </row>
    <row r="1409" spans="7:9" ht="12.75">
      <c r="G1409" s="66"/>
      <c r="H1409" s="66"/>
      <c r="I1409" s="66"/>
    </row>
    <row r="1410" spans="7:9" ht="12.75">
      <c r="G1410" s="66"/>
      <c r="H1410" s="66"/>
      <c r="I1410" s="66"/>
    </row>
    <row r="1411" spans="7:9" ht="12.75">
      <c r="G1411" s="66"/>
      <c r="H1411" s="66"/>
      <c r="I1411" s="66"/>
    </row>
    <row r="1412" spans="7:9" ht="12.75">
      <c r="G1412" s="66"/>
      <c r="H1412" s="66"/>
      <c r="I1412" s="66"/>
    </row>
    <row r="1413" spans="7:9" ht="12.75">
      <c r="G1413" s="66"/>
      <c r="H1413" s="66"/>
      <c r="I1413" s="66"/>
    </row>
    <row r="1414" spans="7:9" ht="12.75">
      <c r="G1414" s="66"/>
      <c r="H1414" s="66"/>
      <c r="I1414" s="66"/>
    </row>
    <row r="1415" spans="7:9" ht="12.75">
      <c r="G1415" s="66"/>
      <c r="H1415" s="66"/>
      <c r="I1415" s="66"/>
    </row>
    <row r="1416" spans="7:9" ht="12.75">
      <c r="G1416" s="66"/>
      <c r="H1416" s="66"/>
      <c r="I1416" s="66"/>
    </row>
    <row r="1417" spans="7:9" ht="12.75">
      <c r="G1417" s="66"/>
      <c r="H1417" s="66"/>
      <c r="I1417" s="66"/>
    </row>
    <row r="1418" spans="7:9" ht="12.75">
      <c r="G1418" s="66"/>
      <c r="H1418" s="66"/>
      <c r="I1418" s="66"/>
    </row>
    <row r="1419" spans="7:9" ht="12.75">
      <c r="G1419" s="66"/>
      <c r="H1419" s="66"/>
      <c r="I1419" s="66"/>
    </row>
    <row r="1420" spans="7:9" ht="12.75">
      <c r="G1420" s="66"/>
      <c r="H1420" s="66"/>
      <c r="I1420" s="66"/>
    </row>
    <row r="1421" spans="7:9" ht="12.75">
      <c r="G1421" s="66"/>
      <c r="H1421" s="66"/>
      <c r="I1421" s="66"/>
    </row>
    <row r="1422" spans="7:9" ht="12.75">
      <c r="G1422" s="66"/>
      <c r="H1422" s="66"/>
      <c r="I1422" s="66"/>
    </row>
    <row r="1423" spans="7:9" ht="12.75">
      <c r="G1423" s="66"/>
      <c r="H1423" s="66"/>
      <c r="I1423" s="66"/>
    </row>
    <row r="1424" spans="7:9" ht="12.75">
      <c r="G1424" s="66"/>
      <c r="H1424" s="66"/>
      <c r="I1424" s="66"/>
    </row>
    <row r="1425" spans="7:9" ht="12.75">
      <c r="G1425" s="66"/>
      <c r="H1425" s="66"/>
      <c r="I1425" s="66"/>
    </row>
    <row r="1426" spans="7:9" ht="12.75">
      <c r="G1426" s="66"/>
      <c r="H1426" s="66"/>
      <c r="I1426" s="66"/>
    </row>
    <row r="1427" spans="7:9" ht="12.75">
      <c r="G1427" s="66"/>
      <c r="H1427" s="66"/>
      <c r="I1427" s="66"/>
    </row>
    <row r="1428" spans="7:9" ht="12.75">
      <c r="G1428" s="66"/>
      <c r="H1428" s="66"/>
      <c r="I1428" s="66"/>
    </row>
    <row r="1429" spans="7:9" ht="12.75">
      <c r="G1429" s="66"/>
      <c r="H1429" s="66"/>
      <c r="I1429" s="66"/>
    </row>
    <row r="1430" spans="7:9" ht="12.75">
      <c r="G1430" s="66"/>
      <c r="H1430" s="66"/>
      <c r="I1430" s="66"/>
    </row>
    <row r="1431" spans="7:9" ht="12.75">
      <c r="G1431" s="66"/>
      <c r="H1431" s="66"/>
      <c r="I1431" s="66"/>
    </row>
    <row r="1432" spans="7:9" ht="12.75">
      <c r="G1432" s="66"/>
      <c r="H1432" s="66"/>
      <c r="I1432" s="66"/>
    </row>
    <row r="1433" spans="7:9" ht="12.75">
      <c r="G1433" s="66"/>
      <c r="H1433" s="66"/>
      <c r="I1433" s="66"/>
    </row>
    <row r="1434" spans="7:9" ht="12.75">
      <c r="G1434" s="66"/>
      <c r="H1434" s="66"/>
      <c r="I1434" s="66"/>
    </row>
    <row r="1435" spans="7:9" ht="12.75">
      <c r="G1435" s="66"/>
      <c r="H1435" s="66"/>
      <c r="I1435" s="66"/>
    </row>
    <row r="1436" spans="7:9" ht="12.75">
      <c r="G1436" s="66"/>
      <c r="H1436" s="66"/>
      <c r="I1436" s="66"/>
    </row>
    <row r="1437" spans="7:9" ht="12.75">
      <c r="G1437" s="66"/>
      <c r="H1437" s="66"/>
      <c r="I1437" s="66"/>
    </row>
    <row r="1438" spans="7:9" ht="12.75">
      <c r="G1438" s="66"/>
      <c r="H1438" s="66"/>
      <c r="I1438" s="66"/>
    </row>
    <row r="1439" spans="7:9" ht="12.75">
      <c r="G1439" s="66"/>
      <c r="H1439" s="66"/>
      <c r="I1439" s="66"/>
    </row>
    <row r="1440" spans="7:9" ht="12.75">
      <c r="G1440" s="66"/>
      <c r="H1440" s="66"/>
      <c r="I1440" s="66"/>
    </row>
    <row r="1441" spans="7:9" ht="12.75">
      <c r="G1441" s="66"/>
      <c r="H1441" s="66"/>
      <c r="I1441" s="66"/>
    </row>
    <row r="1442" spans="7:9" ht="12.75">
      <c r="G1442" s="66"/>
      <c r="H1442" s="66"/>
      <c r="I1442" s="66"/>
    </row>
    <row r="1443" spans="7:9" ht="12.75">
      <c r="G1443" s="66"/>
      <c r="H1443" s="66"/>
      <c r="I1443" s="66"/>
    </row>
    <row r="1444" spans="7:9" ht="12.75">
      <c r="G1444" s="66"/>
      <c r="H1444" s="66"/>
      <c r="I1444" s="66"/>
    </row>
    <row r="1445" spans="7:9" ht="12.75">
      <c r="G1445" s="66"/>
      <c r="H1445" s="66"/>
      <c r="I1445" s="66"/>
    </row>
    <row r="1446" spans="7:9" ht="12.75">
      <c r="G1446" s="66"/>
      <c r="H1446" s="66"/>
      <c r="I1446" s="66"/>
    </row>
    <row r="1447" spans="7:9" ht="12.75">
      <c r="G1447" s="66"/>
      <c r="H1447" s="66"/>
      <c r="I1447" s="66"/>
    </row>
    <row r="1448" spans="7:9" ht="12.75">
      <c r="G1448" s="66"/>
      <c r="H1448" s="66"/>
      <c r="I1448" s="66"/>
    </row>
    <row r="1449" spans="7:9" ht="12.75">
      <c r="G1449" s="66"/>
      <c r="H1449" s="66"/>
      <c r="I1449" s="66"/>
    </row>
    <row r="1450" spans="7:9" ht="12.75">
      <c r="G1450" s="66"/>
      <c r="H1450" s="66"/>
      <c r="I1450" s="66"/>
    </row>
    <row r="1451" spans="7:9" ht="12.75">
      <c r="G1451" s="66"/>
      <c r="H1451" s="66"/>
      <c r="I1451" s="66"/>
    </row>
    <row r="1452" spans="7:9" ht="12.75">
      <c r="G1452" s="66"/>
      <c r="H1452" s="66"/>
      <c r="I1452" s="66"/>
    </row>
    <row r="1453" spans="7:9" ht="12.75">
      <c r="G1453" s="66"/>
      <c r="H1453" s="66"/>
      <c r="I1453" s="66"/>
    </row>
    <row r="1454" spans="7:9" ht="12.75">
      <c r="G1454" s="66"/>
      <c r="H1454" s="66"/>
      <c r="I1454" s="66"/>
    </row>
    <row r="1455" spans="7:9" ht="12.75">
      <c r="G1455" s="66"/>
      <c r="H1455" s="66"/>
      <c r="I1455" s="66"/>
    </row>
    <row r="1456" spans="7:9" ht="12.75">
      <c r="G1456" s="66"/>
      <c r="H1456" s="66"/>
      <c r="I1456" s="66"/>
    </row>
    <row r="1457" spans="7:9" ht="12.75">
      <c r="G1457" s="66"/>
      <c r="H1457" s="66"/>
      <c r="I1457" s="66"/>
    </row>
    <row r="1458" spans="7:9" ht="12.75">
      <c r="G1458" s="66"/>
      <c r="H1458" s="66"/>
      <c r="I1458" s="66"/>
    </row>
    <row r="1459" spans="7:9" ht="12.75">
      <c r="G1459" s="66"/>
      <c r="H1459" s="66"/>
      <c r="I1459" s="66"/>
    </row>
    <row r="1460" spans="7:9" ht="12.75">
      <c r="G1460" s="66"/>
      <c r="H1460" s="66"/>
      <c r="I1460" s="66"/>
    </row>
    <row r="1461" spans="7:9" ht="12.75">
      <c r="G1461" s="66"/>
      <c r="H1461" s="66"/>
      <c r="I1461" s="66"/>
    </row>
    <row r="1462" spans="7:9" ht="12.75">
      <c r="G1462" s="66"/>
      <c r="H1462" s="66"/>
      <c r="I1462" s="66"/>
    </row>
    <row r="1463" spans="7:9" ht="12.75">
      <c r="G1463" s="66"/>
      <c r="H1463" s="66"/>
      <c r="I1463" s="66"/>
    </row>
    <row r="1464" spans="7:9" ht="12.75">
      <c r="G1464" s="66"/>
      <c r="H1464" s="66"/>
      <c r="I1464" s="66"/>
    </row>
    <row r="1465" spans="7:9" ht="12.75">
      <c r="G1465" s="66"/>
      <c r="H1465" s="66"/>
      <c r="I1465" s="66"/>
    </row>
    <row r="1466" spans="7:9" ht="12.75">
      <c r="G1466" s="66"/>
      <c r="H1466" s="66"/>
      <c r="I1466" s="66"/>
    </row>
    <row r="1467" spans="7:9" ht="12.75">
      <c r="G1467" s="66"/>
      <c r="H1467" s="66"/>
      <c r="I1467" s="66"/>
    </row>
    <row r="1468" spans="7:9" ht="12.75">
      <c r="G1468" s="66"/>
      <c r="H1468" s="66"/>
      <c r="I1468" s="66"/>
    </row>
    <row r="1469" spans="7:9" ht="12.75">
      <c r="G1469" s="66"/>
      <c r="H1469" s="66"/>
      <c r="I1469" s="66"/>
    </row>
    <row r="1470" spans="7:9" ht="12.75">
      <c r="G1470" s="66"/>
      <c r="H1470" s="66"/>
      <c r="I1470" s="66"/>
    </row>
    <row r="1471" spans="7:9" ht="12.75">
      <c r="G1471" s="66"/>
      <c r="H1471" s="66"/>
      <c r="I1471" s="66"/>
    </row>
    <row r="1472" spans="7:9" ht="12.75">
      <c r="G1472" s="66"/>
      <c r="H1472" s="66"/>
      <c r="I1472" s="66"/>
    </row>
    <row r="1473" spans="7:9" ht="12.75">
      <c r="G1473" s="66"/>
      <c r="H1473" s="66"/>
      <c r="I1473" s="66"/>
    </row>
    <row r="1474" spans="7:9" ht="12.75">
      <c r="G1474" s="66"/>
      <c r="H1474" s="66"/>
      <c r="I1474" s="66"/>
    </row>
    <row r="1475" spans="7:9" ht="12.75">
      <c r="G1475" s="66"/>
      <c r="H1475" s="66"/>
      <c r="I1475" s="66"/>
    </row>
    <row r="1476" spans="7:9" ht="12.75">
      <c r="G1476" s="66"/>
      <c r="H1476" s="66"/>
      <c r="I1476" s="66"/>
    </row>
    <row r="1477" spans="7:9" ht="12.75">
      <c r="G1477" s="66"/>
      <c r="H1477" s="66"/>
      <c r="I1477" s="66"/>
    </row>
    <row r="1478" spans="7:9" ht="12.75">
      <c r="G1478" s="66"/>
      <c r="H1478" s="66"/>
      <c r="I1478" s="66"/>
    </row>
    <row r="1479" spans="7:9" ht="12.75">
      <c r="G1479" s="66"/>
      <c r="H1479" s="66"/>
      <c r="I1479" s="66"/>
    </row>
    <row r="1480" spans="7:9" ht="12.75">
      <c r="G1480" s="66"/>
      <c r="H1480" s="66"/>
      <c r="I1480" s="66"/>
    </row>
    <row r="1481" spans="7:9" ht="12.75">
      <c r="G1481" s="66"/>
      <c r="H1481" s="66"/>
      <c r="I1481" s="66"/>
    </row>
    <row r="1482" spans="7:9" ht="12.75">
      <c r="G1482" s="66"/>
      <c r="H1482" s="66"/>
      <c r="I1482" s="66"/>
    </row>
    <row r="1483" spans="7:9" ht="12.75">
      <c r="G1483" s="66"/>
      <c r="H1483" s="66"/>
      <c r="I1483" s="66"/>
    </row>
    <row r="1484" spans="7:9" ht="12.75">
      <c r="G1484" s="66"/>
      <c r="H1484" s="66"/>
      <c r="I1484" s="66"/>
    </row>
    <row r="1485" spans="7:9" ht="12.75">
      <c r="G1485" s="66"/>
      <c r="H1485" s="66"/>
      <c r="I1485" s="66"/>
    </row>
    <row r="1486" spans="7:9" ht="12.75">
      <c r="G1486" s="66"/>
      <c r="H1486" s="66"/>
      <c r="I1486" s="66"/>
    </row>
    <row r="1487" spans="7:9" ht="12.75">
      <c r="G1487" s="66"/>
      <c r="H1487" s="66"/>
      <c r="I1487" s="66"/>
    </row>
    <row r="1488" spans="7:9" ht="12.75">
      <c r="G1488" s="66"/>
      <c r="H1488" s="66"/>
      <c r="I1488" s="66"/>
    </row>
    <row r="1489" spans="7:9" ht="12.75">
      <c r="G1489" s="66"/>
      <c r="H1489" s="66"/>
      <c r="I1489" s="66"/>
    </row>
    <row r="1490" spans="7:9" ht="12.75">
      <c r="G1490" s="66"/>
      <c r="H1490" s="66"/>
      <c r="I1490" s="66"/>
    </row>
    <row r="1491" spans="7:9" ht="12.75">
      <c r="G1491" s="66"/>
      <c r="H1491" s="66"/>
      <c r="I1491" s="66"/>
    </row>
    <row r="1492" spans="7:9" ht="12.75">
      <c r="G1492" s="66"/>
      <c r="H1492" s="66"/>
      <c r="I1492" s="66"/>
    </row>
    <row r="1493" spans="7:9" ht="12.75">
      <c r="G1493" s="66"/>
      <c r="H1493" s="66"/>
      <c r="I1493" s="66"/>
    </row>
    <row r="1494" spans="7:9" ht="12.75">
      <c r="G1494" s="66"/>
      <c r="H1494" s="66"/>
      <c r="I1494" s="66"/>
    </row>
    <row r="1495" spans="7:9" ht="12.75">
      <c r="G1495" s="66"/>
      <c r="H1495" s="66"/>
      <c r="I1495" s="66"/>
    </row>
    <row r="1496" spans="7:9" ht="12.75">
      <c r="G1496" s="66"/>
      <c r="H1496" s="66"/>
      <c r="I1496" s="66"/>
    </row>
    <row r="1497" spans="7:9" ht="12.75">
      <c r="G1497" s="66"/>
      <c r="H1497" s="66"/>
      <c r="I1497" s="66"/>
    </row>
    <row r="1498" spans="7:9" ht="12.75">
      <c r="G1498" s="66"/>
      <c r="H1498" s="66"/>
      <c r="I1498" s="66"/>
    </row>
    <row r="1499" spans="7:9" ht="12.75">
      <c r="G1499" s="66"/>
      <c r="H1499" s="66"/>
      <c r="I1499" s="66"/>
    </row>
    <row r="1500" spans="7:9" ht="12.75">
      <c r="G1500" s="66"/>
      <c r="H1500" s="66"/>
      <c r="I1500" s="66"/>
    </row>
    <row r="1501" spans="7:9" ht="12.75">
      <c r="G1501" s="66"/>
      <c r="H1501" s="66"/>
      <c r="I1501" s="66"/>
    </row>
    <row r="1502" spans="7:9" ht="12.75">
      <c r="G1502" s="66"/>
      <c r="H1502" s="66"/>
      <c r="I1502" s="66"/>
    </row>
    <row r="1503" spans="7:9" ht="12.75">
      <c r="G1503" s="66"/>
      <c r="H1503" s="66"/>
      <c r="I1503" s="66"/>
    </row>
    <row r="1504" spans="7:9" ht="12.75">
      <c r="G1504" s="66"/>
      <c r="H1504" s="66"/>
      <c r="I1504" s="66"/>
    </row>
    <row r="1505" spans="7:9" ht="12.75">
      <c r="G1505" s="66"/>
      <c r="H1505" s="66"/>
      <c r="I1505" s="66"/>
    </row>
    <row r="1506" spans="7:9" ht="12.75">
      <c r="G1506" s="66"/>
      <c r="H1506" s="66"/>
      <c r="I1506" s="66"/>
    </row>
    <row r="1507" spans="7:9" ht="12.75">
      <c r="G1507" s="66"/>
      <c r="H1507" s="66"/>
      <c r="I1507" s="66"/>
    </row>
    <row r="1508" spans="7:9" ht="12.75">
      <c r="G1508" s="66"/>
      <c r="H1508" s="66"/>
      <c r="I1508" s="66"/>
    </row>
    <row r="1509" spans="7:9" ht="12.75">
      <c r="G1509" s="66"/>
      <c r="H1509" s="66"/>
      <c r="I1509" s="66"/>
    </row>
    <row r="1510" spans="7:9" ht="12.75">
      <c r="G1510" s="66"/>
      <c r="H1510" s="66"/>
      <c r="I1510" s="66"/>
    </row>
    <row r="1511" spans="7:9" ht="12.75">
      <c r="G1511" s="66"/>
      <c r="H1511" s="66"/>
      <c r="I1511" s="66"/>
    </row>
    <row r="1512" spans="7:9" ht="12.75">
      <c r="G1512" s="66"/>
      <c r="H1512" s="66"/>
      <c r="I1512" s="66"/>
    </row>
    <row r="1513" spans="7:9" ht="12.75">
      <c r="G1513" s="66"/>
      <c r="H1513" s="66"/>
      <c r="I1513" s="66"/>
    </row>
    <row r="1514" spans="7:9" ht="12.75">
      <c r="G1514" s="66"/>
      <c r="H1514" s="66"/>
      <c r="I1514" s="66"/>
    </row>
    <row r="1515" spans="7:9" ht="12.75">
      <c r="G1515" s="66"/>
      <c r="H1515" s="66"/>
      <c r="I1515" s="66"/>
    </row>
    <row r="1516" spans="7:9" ht="12.75">
      <c r="G1516" s="66"/>
      <c r="H1516" s="66"/>
      <c r="I1516" s="66"/>
    </row>
    <row r="1517" spans="7:9" ht="12.75">
      <c r="G1517" s="66"/>
      <c r="H1517" s="66"/>
      <c r="I1517" s="66"/>
    </row>
    <row r="1518" spans="7:9" ht="12.75">
      <c r="G1518" s="66"/>
      <c r="H1518" s="66"/>
      <c r="I1518" s="66"/>
    </row>
    <row r="1519" spans="7:9" ht="12.75">
      <c r="G1519" s="66"/>
      <c r="H1519" s="66"/>
      <c r="I1519" s="66"/>
    </row>
    <row r="1520" spans="7:9" ht="12.75">
      <c r="G1520" s="66"/>
      <c r="H1520" s="66"/>
      <c r="I1520" s="66"/>
    </row>
    <row r="1521" spans="7:9" ht="12.75">
      <c r="G1521" s="66"/>
      <c r="H1521" s="66"/>
      <c r="I1521" s="66"/>
    </row>
    <row r="1522" spans="7:9" ht="12.75">
      <c r="G1522" s="66"/>
      <c r="H1522" s="66"/>
      <c r="I1522" s="66"/>
    </row>
    <row r="1523" spans="7:9" ht="12.75">
      <c r="G1523" s="66"/>
      <c r="H1523" s="66"/>
      <c r="I1523" s="66"/>
    </row>
    <row r="1524" spans="7:9" ht="12.75">
      <c r="G1524" s="66"/>
      <c r="H1524" s="66"/>
      <c r="I1524" s="66"/>
    </row>
    <row r="1525" spans="7:9" ht="12.75">
      <c r="G1525" s="66"/>
      <c r="H1525" s="66"/>
      <c r="I1525" s="66"/>
    </row>
    <row r="1526" spans="7:9" ht="12.75">
      <c r="G1526" s="66"/>
      <c r="H1526" s="66"/>
      <c r="I1526" s="66"/>
    </row>
    <row r="1527" spans="7:9" ht="12.75">
      <c r="G1527" s="66"/>
      <c r="H1527" s="66"/>
      <c r="I1527" s="66"/>
    </row>
    <row r="1528" spans="7:9" ht="12.75">
      <c r="G1528" s="66"/>
      <c r="H1528" s="66"/>
      <c r="I1528" s="66"/>
    </row>
    <row r="1529" spans="7:9" ht="12.75">
      <c r="G1529" s="66"/>
      <c r="H1529" s="66"/>
      <c r="I1529" s="66"/>
    </row>
    <row r="1530" spans="7:9" ht="12.75">
      <c r="G1530" s="66"/>
      <c r="H1530" s="66"/>
      <c r="I1530" s="66"/>
    </row>
    <row r="1531" spans="7:9" ht="12.75">
      <c r="G1531" s="66"/>
      <c r="H1531" s="66"/>
      <c r="I1531" s="66"/>
    </row>
    <row r="1532" spans="7:9" ht="12.75">
      <c r="G1532" s="66"/>
      <c r="H1532" s="66"/>
      <c r="I1532" s="66"/>
    </row>
    <row r="1533" spans="7:9" ht="12.75">
      <c r="G1533" s="66"/>
      <c r="H1533" s="66"/>
      <c r="I1533" s="66"/>
    </row>
    <row r="1534" spans="7:9" ht="12.75">
      <c r="G1534" s="66"/>
      <c r="H1534" s="66"/>
      <c r="I1534" s="66"/>
    </row>
    <row r="1535" spans="7:9" ht="12.75">
      <c r="G1535" s="66"/>
      <c r="H1535" s="66"/>
      <c r="I1535" s="66"/>
    </row>
    <row r="1536" spans="7:9" ht="12.75">
      <c r="G1536" s="66"/>
      <c r="H1536" s="66"/>
      <c r="I1536" s="66"/>
    </row>
    <row r="1537" spans="7:9" ht="12.75">
      <c r="G1537" s="66"/>
      <c r="H1537" s="66"/>
      <c r="I1537" s="66"/>
    </row>
    <row r="1538" spans="7:9" ht="12.75">
      <c r="G1538" s="66"/>
      <c r="H1538" s="66"/>
      <c r="I1538" s="66"/>
    </row>
    <row r="1539" spans="7:9" ht="12.75">
      <c r="G1539" s="66"/>
      <c r="H1539" s="66"/>
      <c r="I1539" s="66"/>
    </row>
    <row r="1540" spans="7:9" ht="12.75">
      <c r="G1540" s="66"/>
      <c r="H1540" s="66"/>
      <c r="I1540" s="66"/>
    </row>
    <row r="1541" spans="7:9" ht="12.75">
      <c r="G1541" s="66"/>
      <c r="H1541" s="66"/>
      <c r="I1541" s="66"/>
    </row>
    <row r="1542" spans="7:9" ht="12.75">
      <c r="G1542" s="66"/>
      <c r="H1542" s="66"/>
      <c r="I1542" s="66"/>
    </row>
    <row r="1543" spans="7:9" ht="12.75">
      <c r="G1543" s="66"/>
      <c r="H1543" s="66"/>
      <c r="I1543" s="66"/>
    </row>
    <row r="1544" spans="7:9" ht="12.75">
      <c r="G1544" s="66"/>
      <c r="H1544" s="66"/>
      <c r="I1544" s="66"/>
    </row>
    <row r="1545" spans="7:9" ht="12.75">
      <c r="G1545" s="66"/>
      <c r="H1545" s="66"/>
      <c r="I1545" s="66"/>
    </row>
    <row r="1546" spans="7:9" ht="12.75">
      <c r="G1546" s="66"/>
      <c r="H1546" s="66"/>
      <c r="I1546" s="66"/>
    </row>
    <row r="1547" spans="7:9" ht="12.75">
      <c r="G1547" s="66"/>
      <c r="H1547" s="66"/>
      <c r="I1547" s="66"/>
    </row>
    <row r="1548" spans="7:9" ht="12.75">
      <c r="G1548" s="66"/>
      <c r="H1548" s="66"/>
      <c r="I1548" s="66"/>
    </row>
    <row r="1549" spans="7:9" ht="12.75">
      <c r="G1549" s="66"/>
      <c r="H1549" s="66"/>
      <c r="I1549" s="66"/>
    </row>
    <row r="1550" spans="7:9" ht="12.75">
      <c r="G1550" s="66"/>
      <c r="H1550" s="66"/>
      <c r="I1550" s="66"/>
    </row>
    <row r="1551" spans="7:9" ht="12.75">
      <c r="G1551" s="66"/>
      <c r="H1551" s="66"/>
      <c r="I1551" s="66"/>
    </row>
    <row r="1552" spans="7:9" ht="12.75">
      <c r="G1552" s="66"/>
      <c r="H1552" s="66"/>
      <c r="I1552" s="66"/>
    </row>
    <row r="1553" spans="7:9" ht="12.75">
      <c r="G1553" s="66"/>
      <c r="H1553" s="66"/>
      <c r="I1553" s="66"/>
    </row>
    <row r="1554" spans="7:9" ht="12.75">
      <c r="G1554" s="66"/>
      <c r="H1554" s="66"/>
      <c r="I1554" s="66"/>
    </row>
    <row r="1555" spans="7:9" ht="12.75">
      <c r="G1555" s="66"/>
      <c r="H1555" s="66"/>
      <c r="I1555" s="66"/>
    </row>
    <row r="1556" spans="7:9" ht="12.75">
      <c r="G1556" s="66"/>
      <c r="H1556" s="66"/>
      <c r="I1556" s="66"/>
    </row>
    <row r="1557" spans="7:9" ht="12.75">
      <c r="G1557" s="66"/>
      <c r="H1557" s="66"/>
      <c r="I1557" s="66"/>
    </row>
    <row r="1558" spans="7:9" ht="12.75">
      <c r="G1558" s="66"/>
      <c r="H1558" s="66"/>
      <c r="I1558" s="66"/>
    </row>
    <row r="1559" spans="7:9" ht="12.75">
      <c r="G1559" s="66"/>
      <c r="H1559" s="66"/>
      <c r="I1559" s="66"/>
    </row>
    <row r="1560" spans="7:9" ht="12.75">
      <c r="G1560" s="66"/>
      <c r="H1560" s="66"/>
      <c r="I1560" s="66"/>
    </row>
    <row r="1561" spans="7:9" ht="12.75">
      <c r="G1561" s="66"/>
      <c r="H1561" s="66"/>
      <c r="I1561" s="66"/>
    </row>
    <row r="1562" spans="7:9" ht="12.75">
      <c r="G1562" s="66"/>
      <c r="H1562" s="66"/>
      <c r="I1562" s="66"/>
    </row>
    <row r="1563" spans="7:9" ht="12.75">
      <c r="G1563" s="66"/>
      <c r="H1563" s="66"/>
      <c r="I1563" s="66"/>
    </row>
    <row r="1564" spans="7:9" ht="12.75">
      <c r="G1564" s="66"/>
      <c r="H1564" s="66"/>
      <c r="I1564" s="66"/>
    </row>
    <row r="1565" spans="7:9" ht="12.75">
      <c r="G1565" s="66"/>
      <c r="H1565" s="66"/>
      <c r="I1565" s="66"/>
    </row>
    <row r="1566" spans="7:9" ht="12.75">
      <c r="G1566" s="66"/>
      <c r="H1566" s="66"/>
      <c r="I1566" s="66"/>
    </row>
    <row r="1567" spans="7:9" ht="12.75">
      <c r="G1567" s="66"/>
      <c r="H1567" s="66"/>
      <c r="I1567" s="66"/>
    </row>
    <row r="1568" spans="7:9" ht="12.75">
      <c r="G1568" s="66"/>
      <c r="H1568" s="66"/>
      <c r="I1568" s="66"/>
    </row>
    <row r="1569" spans="7:9" ht="12.75">
      <c r="G1569" s="66"/>
      <c r="H1569" s="66"/>
      <c r="I1569" s="66"/>
    </row>
    <row r="1570" spans="7:9" ht="12.75">
      <c r="G1570" s="66"/>
      <c r="H1570" s="66"/>
      <c r="I1570" s="66"/>
    </row>
    <row r="1571" spans="7:9" ht="12.75">
      <c r="G1571" s="66"/>
      <c r="H1571" s="66"/>
      <c r="I1571" s="66"/>
    </row>
    <row r="1572" spans="7:9" ht="12.75">
      <c r="G1572" s="66"/>
      <c r="H1572" s="66"/>
      <c r="I1572" s="66"/>
    </row>
    <row r="1573" spans="7:9" ht="12.75">
      <c r="G1573" s="66"/>
      <c r="H1573" s="66"/>
      <c r="I1573" s="66"/>
    </row>
    <row r="1574" spans="7:9" ht="12.75">
      <c r="G1574" s="66"/>
      <c r="H1574" s="66"/>
      <c r="I1574" s="66"/>
    </row>
    <row r="1575" spans="7:9" ht="12.75">
      <c r="G1575" s="66"/>
      <c r="H1575" s="66"/>
      <c r="I1575" s="66"/>
    </row>
    <row r="1576" spans="7:9" ht="12.75">
      <c r="G1576" s="66"/>
      <c r="H1576" s="66"/>
      <c r="I1576" s="66"/>
    </row>
    <row r="1577" spans="7:9" ht="12.75">
      <c r="G1577" s="66"/>
      <c r="H1577" s="66"/>
      <c r="I1577" s="66"/>
    </row>
    <row r="1578" spans="7:9" ht="12.75">
      <c r="G1578" s="66"/>
      <c r="H1578" s="66"/>
      <c r="I1578" s="66"/>
    </row>
    <row r="1579" spans="7:9" ht="12.75">
      <c r="G1579" s="66"/>
      <c r="H1579" s="66"/>
      <c r="I1579" s="66"/>
    </row>
    <row r="1580" spans="7:9" ht="12.75">
      <c r="G1580" s="66"/>
      <c r="H1580" s="66"/>
      <c r="I1580" s="66"/>
    </row>
    <row r="1581" spans="7:9" ht="12.75">
      <c r="G1581" s="66"/>
      <c r="H1581" s="66"/>
      <c r="I1581" s="66"/>
    </row>
    <row r="1582" spans="7:9" ht="12.75">
      <c r="G1582" s="66"/>
      <c r="H1582" s="66"/>
      <c r="I1582" s="66"/>
    </row>
    <row r="1583" spans="7:9" ht="12.75">
      <c r="G1583" s="66"/>
      <c r="H1583" s="66"/>
      <c r="I1583" s="66"/>
    </row>
    <row r="1584" spans="7:9" ht="12.75">
      <c r="G1584" s="66"/>
      <c r="H1584" s="66"/>
      <c r="I1584" s="66"/>
    </row>
    <row r="1585" spans="7:9" ht="12.75">
      <c r="G1585" s="66"/>
      <c r="H1585" s="66"/>
      <c r="I1585" s="66"/>
    </row>
    <row r="1586" spans="7:9" ht="12.75">
      <c r="G1586" s="66"/>
      <c r="H1586" s="66"/>
      <c r="I1586" s="66"/>
    </row>
    <row r="1587" spans="7:9" ht="12.75">
      <c r="G1587" s="66"/>
      <c r="H1587" s="66"/>
      <c r="I1587" s="66"/>
    </row>
    <row r="1588" spans="7:9" ht="12.75">
      <c r="G1588" s="66"/>
      <c r="H1588" s="66"/>
      <c r="I1588" s="66"/>
    </row>
    <row r="1589" spans="7:9" ht="12.75">
      <c r="G1589" s="66"/>
      <c r="H1589" s="66"/>
      <c r="I1589" s="66"/>
    </row>
    <row r="1590" spans="7:9" ht="12.75">
      <c r="G1590" s="66"/>
      <c r="H1590" s="66"/>
      <c r="I1590" s="66"/>
    </row>
    <row r="1591" spans="7:9" ht="12.75">
      <c r="G1591" s="66"/>
      <c r="H1591" s="66"/>
      <c r="I1591" s="66"/>
    </row>
    <row r="1592" spans="7:9" ht="12.75">
      <c r="G1592" s="66"/>
      <c r="H1592" s="66"/>
      <c r="I1592" s="66"/>
    </row>
    <row r="1593" spans="7:9" ht="12.75">
      <c r="G1593" s="66"/>
      <c r="H1593" s="66"/>
      <c r="I1593" s="66"/>
    </row>
    <row r="1594" spans="7:9" ht="12.75">
      <c r="G1594" s="66"/>
      <c r="H1594" s="66"/>
      <c r="I1594" s="66"/>
    </row>
    <row r="1595" spans="7:9" ht="12.75">
      <c r="G1595" s="66"/>
      <c r="H1595" s="66"/>
      <c r="I1595" s="66"/>
    </row>
    <row r="1596" spans="7:9" ht="12.75">
      <c r="G1596" s="66"/>
      <c r="H1596" s="66"/>
      <c r="I1596" s="66"/>
    </row>
    <row r="1597" spans="7:9" ht="12.75">
      <c r="G1597" s="66"/>
      <c r="H1597" s="66"/>
      <c r="I1597" s="66"/>
    </row>
    <row r="1598" spans="7:9" ht="12.75">
      <c r="G1598" s="66"/>
      <c r="H1598" s="66"/>
      <c r="I1598" s="66"/>
    </row>
    <row r="1599" spans="7:9" ht="12.75">
      <c r="G1599" s="66"/>
      <c r="H1599" s="66"/>
      <c r="I1599" s="66"/>
    </row>
    <row r="1600" spans="7:9" ht="12.75">
      <c r="G1600" s="66"/>
      <c r="H1600" s="66"/>
      <c r="I1600" s="66"/>
    </row>
    <row r="1601" spans="7:9" ht="12.75">
      <c r="G1601" s="66"/>
      <c r="H1601" s="66"/>
      <c r="I1601" s="66"/>
    </row>
    <row r="1602" spans="7:9" ht="12.75">
      <c r="G1602" s="66"/>
      <c r="H1602" s="66"/>
      <c r="I1602" s="66"/>
    </row>
    <row r="1603" spans="7:9" ht="12.75">
      <c r="G1603" s="66"/>
      <c r="H1603" s="66"/>
      <c r="I1603" s="66"/>
    </row>
    <row r="1604" spans="7:9" ht="12.75">
      <c r="G1604" s="66"/>
      <c r="H1604" s="66"/>
      <c r="I1604" s="66"/>
    </row>
    <row r="1605" spans="7:9" ht="12.75">
      <c r="G1605" s="66"/>
      <c r="H1605" s="66"/>
      <c r="I1605" s="66"/>
    </row>
    <row r="1606" spans="7:9" ht="12.75">
      <c r="G1606" s="66"/>
      <c r="H1606" s="66"/>
      <c r="I1606" s="66"/>
    </row>
    <row r="1607" spans="7:9" ht="12.75">
      <c r="G1607" s="66"/>
      <c r="H1607" s="66"/>
      <c r="I1607" s="66"/>
    </row>
    <row r="1608" spans="7:9" ht="12.75">
      <c r="G1608" s="66"/>
      <c r="H1608" s="66"/>
      <c r="I1608" s="66"/>
    </row>
    <row r="1609" spans="7:9" ht="12.75">
      <c r="G1609" s="66"/>
      <c r="H1609" s="66"/>
      <c r="I1609" s="66"/>
    </row>
    <row r="1610" spans="7:9" ht="12.75">
      <c r="G1610" s="66"/>
      <c r="H1610" s="66"/>
      <c r="I1610" s="66"/>
    </row>
    <row r="1611" spans="7:9" ht="12.75">
      <c r="G1611" s="66"/>
      <c r="H1611" s="66"/>
      <c r="I1611" s="66"/>
    </row>
    <row r="1612" spans="7:9" ht="12.75">
      <c r="G1612" s="66"/>
      <c r="H1612" s="66"/>
      <c r="I1612" s="66"/>
    </row>
    <row r="1613" spans="7:9" ht="12.75">
      <c r="G1613" s="66"/>
      <c r="H1613" s="66"/>
      <c r="I1613" s="66"/>
    </row>
    <row r="1614" spans="7:9" ht="12.75">
      <c r="G1614" s="66"/>
      <c r="H1614" s="66"/>
      <c r="I1614" s="66"/>
    </row>
    <row r="1615" spans="7:9" ht="12.75">
      <c r="G1615" s="66"/>
      <c r="H1615" s="66"/>
      <c r="I1615" s="66"/>
    </row>
    <row r="1616" spans="7:9" ht="12.75">
      <c r="G1616" s="66"/>
      <c r="H1616" s="66"/>
      <c r="I1616" s="66"/>
    </row>
    <row r="1617" spans="7:9" ht="12.75">
      <c r="G1617" s="66"/>
      <c r="H1617" s="66"/>
      <c r="I1617" s="66"/>
    </row>
    <row r="1618" spans="7:9" ht="12.75">
      <c r="G1618" s="66"/>
      <c r="H1618" s="66"/>
      <c r="I1618" s="66"/>
    </row>
    <row r="1619" spans="7:9" ht="12.75">
      <c r="G1619" s="66"/>
      <c r="H1619" s="66"/>
      <c r="I1619" s="66"/>
    </row>
    <row r="1620" spans="7:9" ht="12.75">
      <c r="G1620" s="66"/>
      <c r="H1620" s="66"/>
      <c r="I1620" s="66"/>
    </row>
    <row r="1621" spans="7:9" ht="12.75">
      <c r="G1621" s="66"/>
      <c r="H1621" s="66"/>
      <c r="I1621" s="66"/>
    </row>
    <row r="1622" spans="7:9" ht="12.75">
      <c r="G1622" s="66"/>
      <c r="H1622" s="66"/>
      <c r="I1622" s="66"/>
    </row>
    <row r="1623" spans="7:9" ht="12.75">
      <c r="G1623" s="66"/>
      <c r="H1623" s="66"/>
      <c r="I1623" s="66"/>
    </row>
    <row r="1624" spans="7:9" ht="12.75">
      <c r="G1624" s="66"/>
      <c r="H1624" s="66"/>
      <c r="I1624" s="66"/>
    </row>
    <row r="1625" spans="7:9" ht="12.75">
      <c r="G1625" s="66"/>
      <c r="H1625" s="66"/>
      <c r="I1625" s="66"/>
    </row>
    <row r="1626" spans="7:9" ht="12.75">
      <c r="G1626" s="66"/>
      <c r="H1626" s="66"/>
      <c r="I1626" s="66"/>
    </row>
    <row r="1627" spans="7:9" ht="12.75">
      <c r="G1627" s="66"/>
      <c r="H1627" s="66"/>
      <c r="I1627" s="66"/>
    </row>
    <row r="1628" spans="7:9" ht="12.75">
      <c r="G1628" s="66"/>
      <c r="H1628" s="66"/>
      <c r="I1628" s="66"/>
    </row>
    <row r="1629" spans="7:9" ht="12.75">
      <c r="G1629" s="66"/>
      <c r="H1629" s="66"/>
      <c r="I1629" s="66"/>
    </row>
    <row r="1630" spans="7:9" ht="12.75">
      <c r="G1630" s="66"/>
      <c r="H1630" s="66"/>
      <c r="I1630" s="66"/>
    </row>
    <row r="1631" spans="7:9" ht="12.75">
      <c r="G1631" s="66"/>
      <c r="H1631" s="66"/>
      <c r="I1631" s="66"/>
    </row>
    <row r="1632" spans="7:9" ht="12.75">
      <c r="G1632" s="66"/>
      <c r="H1632" s="66"/>
      <c r="I1632" s="66"/>
    </row>
    <row r="1633" spans="7:9" ht="12.75">
      <c r="G1633" s="66"/>
      <c r="H1633" s="66"/>
      <c r="I1633" s="66"/>
    </row>
    <row r="1634" spans="7:9" ht="12.75">
      <c r="G1634" s="66"/>
      <c r="H1634" s="66"/>
      <c r="I1634" s="66"/>
    </row>
    <row r="1635" spans="7:9" ht="12.75">
      <c r="G1635" s="66"/>
      <c r="H1635" s="66"/>
      <c r="I1635" s="66"/>
    </row>
    <row r="1636" spans="7:9" ht="12.75">
      <c r="G1636" s="66"/>
      <c r="H1636" s="66"/>
      <c r="I1636" s="66"/>
    </row>
    <row r="1637" spans="7:9" ht="12.75">
      <c r="G1637" s="66"/>
      <c r="H1637" s="66"/>
      <c r="I1637" s="66"/>
    </row>
    <row r="1638" spans="7:9" ht="12.75">
      <c r="G1638" s="66"/>
      <c r="H1638" s="66"/>
      <c r="I1638" s="66"/>
    </row>
    <row r="1639" spans="7:9" ht="12.75">
      <c r="G1639" s="66"/>
      <c r="H1639" s="66"/>
      <c r="I1639" s="66"/>
    </row>
    <row r="1640" spans="7:9" ht="12.75">
      <c r="G1640" s="66"/>
      <c r="H1640" s="66"/>
      <c r="I1640" s="66"/>
    </row>
    <row r="1641" spans="7:9" ht="12.75">
      <c r="G1641" s="66"/>
      <c r="H1641" s="66"/>
      <c r="I1641" s="66"/>
    </row>
    <row r="1642" spans="7:9" ht="12.75">
      <c r="G1642" s="66"/>
      <c r="H1642" s="66"/>
      <c r="I1642" s="66"/>
    </row>
    <row r="1643" spans="7:9" ht="12.75">
      <c r="G1643" s="66"/>
      <c r="H1643" s="66"/>
      <c r="I1643" s="66"/>
    </row>
    <row r="1644" spans="7:9" ht="12.75">
      <c r="G1644" s="66"/>
      <c r="H1644" s="66"/>
      <c r="I1644" s="66"/>
    </row>
    <row r="1645" spans="7:9" ht="12.75">
      <c r="G1645" s="66"/>
      <c r="H1645" s="66"/>
      <c r="I1645" s="66"/>
    </row>
    <row r="1646" spans="7:9" ht="12.75">
      <c r="G1646" s="66"/>
      <c r="H1646" s="66"/>
      <c r="I1646" s="66"/>
    </row>
    <row r="1647" spans="7:9" ht="12.75">
      <c r="G1647" s="66"/>
      <c r="H1647" s="66"/>
      <c r="I1647" s="66"/>
    </row>
    <row r="1648" spans="7:9" ht="12.75">
      <c r="G1648" s="66"/>
      <c r="H1648" s="66"/>
      <c r="I1648" s="66"/>
    </row>
    <row r="1649" spans="7:9" ht="12.75">
      <c r="G1649" s="66"/>
      <c r="H1649" s="66"/>
      <c r="I1649" s="66"/>
    </row>
    <row r="1650" spans="7:9" ht="12.75">
      <c r="G1650" s="66"/>
      <c r="H1650" s="66"/>
      <c r="I1650" s="66"/>
    </row>
    <row r="1651" spans="7:9" ht="12.75">
      <c r="G1651" s="66"/>
      <c r="H1651" s="66"/>
      <c r="I1651" s="66"/>
    </row>
    <row r="1652" spans="7:9" ht="12.75">
      <c r="G1652" s="66"/>
      <c r="H1652" s="66"/>
      <c r="I1652" s="66"/>
    </row>
    <row r="1653" spans="7:9" ht="12.75">
      <c r="G1653" s="66"/>
      <c r="H1653" s="66"/>
      <c r="I1653" s="66"/>
    </row>
    <row r="1654" spans="7:9" ht="12.75">
      <c r="G1654" s="66"/>
      <c r="H1654" s="66"/>
      <c r="I1654" s="66"/>
    </row>
    <row r="1655" spans="7:9" ht="12.75">
      <c r="G1655" s="66"/>
      <c r="H1655" s="66"/>
      <c r="I1655" s="66"/>
    </row>
    <row r="1656" spans="7:9" ht="12.75">
      <c r="G1656" s="66"/>
      <c r="H1656" s="66"/>
      <c r="I1656" s="66"/>
    </row>
    <row r="1657" spans="7:9" ht="12.75">
      <c r="G1657" s="66"/>
      <c r="H1657" s="66"/>
      <c r="I1657" s="66"/>
    </row>
    <row r="1658" spans="7:9" ht="12.75">
      <c r="G1658" s="66"/>
      <c r="H1658" s="66"/>
      <c r="I1658" s="66"/>
    </row>
    <row r="1659" spans="7:9" ht="12.75">
      <c r="G1659" s="66"/>
      <c r="H1659" s="66"/>
      <c r="I1659" s="66"/>
    </row>
    <row r="1660" spans="7:9" ht="12.75">
      <c r="G1660" s="66"/>
      <c r="H1660" s="66"/>
      <c r="I1660" s="66"/>
    </row>
    <row r="1661" spans="7:9" ht="12.75">
      <c r="G1661" s="66"/>
      <c r="H1661" s="66"/>
      <c r="I1661" s="66"/>
    </row>
    <row r="1662" spans="7:9" ht="12.75">
      <c r="G1662" s="66"/>
      <c r="H1662" s="66"/>
      <c r="I1662" s="66"/>
    </row>
    <row r="1663" spans="7:9" ht="12.75">
      <c r="G1663" s="66"/>
      <c r="H1663" s="66"/>
      <c r="I1663" s="66"/>
    </row>
    <row r="1664" spans="7:9" ht="12.75">
      <c r="G1664" s="66"/>
      <c r="H1664" s="66"/>
      <c r="I1664" s="66"/>
    </row>
    <row r="1665" spans="7:9" ht="12.75">
      <c r="G1665" s="66"/>
      <c r="H1665" s="66"/>
      <c r="I1665" s="66"/>
    </row>
    <row r="1666" spans="7:9" ht="12.75">
      <c r="G1666" s="66"/>
      <c r="H1666" s="66"/>
      <c r="I1666" s="66"/>
    </row>
    <row r="1667" spans="7:9" ht="12.75">
      <c r="G1667" s="66"/>
      <c r="H1667" s="66"/>
      <c r="I1667" s="66"/>
    </row>
    <row r="1668" spans="7:9" ht="12.75">
      <c r="G1668" s="66"/>
      <c r="H1668" s="66"/>
      <c r="I1668" s="66"/>
    </row>
    <row r="1669" spans="7:9" ht="12.75">
      <c r="G1669" s="66"/>
      <c r="H1669" s="66"/>
      <c r="I1669" s="66"/>
    </row>
    <row r="1670" spans="7:9" ht="12.75">
      <c r="G1670" s="66"/>
      <c r="H1670" s="66"/>
      <c r="I1670" s="66"/>
    </row>
    <row r="1671" spans="7:9" ht="12.75">
      <c r="G1671" s="66"/>
      <c r="H1671" s="66"/>
      <c r="I1671" s="66"/>
    </row>
    <row r="1672" spans="7:9" ht="12.75">
      <c r="G1672" s="66"/>
      <c r="H1672" s="66"/>
      <c r="I1672" s="66"/>
    </row>
    <row r="1673" spans="7:9" ht="12.75">
      <c r="G1673" s="66"/>
      <c r="H1673" s="66"/>
      <c r="I1673" s="66"/>
    </row>
    <row r="1674" spans="7:9" ht="12.75">
      <c r="G1674" s="66"/>
      <c r="H1674" s="66"/>
      <c r="I1674" s="66"/>
    </row>
    <row r="1675" spans="7:9" ht="12.75">
      <c r="G1675" s="66"/>
      <c r="H1675" s="66"/>
      <c r="I1675" s="66"/>
    </row>
    <row r="1676" spans="7:9" ht="12.75">
      <c r="G1676" s="66"/>
      <c r="H1676" s="66"/>
      <c r="I1676" s="66"/>
    </row>
    <row r="1677" spans="7:9" ht="12.75">
      <c r="G1677" s="66"/>
      <c r="H1677" s="66"/>
      <c r="I1677" s="66"/>
    </row>
    <row r="1678" spans="7:9" ht="12.75">
      <c r="G1678" s="66"/>
      <c r="H1678" s="66"/>
      <c r="I1678" s="66"/>
    </row>
    <row r="1679" spans="7:9" ht="12.75">
      <c r="G1679" s="66"/>
      <c r="H1679" s="66"/>
      <c r="I1679" s="66"/>
    </row>
    <row r="1680" spans="7:9" ht="12.75">
      <c r="G1680" s="66"/>
      <c r="H1680" s="66"/>
      <c r="I1680" s="66"/>
    </row>
    <row r="1681" spans="7:9" ht="12.75">
      <c r="G1681" s="66"/>
      <c r="H1681" s="66"/>
      <c r="I1681" s="66"/>
    </row>
    <row r="1682" spans="7:9" ht="12.75">
      <c r="G1682" s="66"/>
      <c r="H1682" s="66"/>
      <c r="I1682" s="66"/>
    </row>
    <row r="1683" spans="7:9" ht="12.75">
      <c r="G1683" s="66"/>
      <c r="H1683" s="66"/>
      <c r="I1683" s="66"/>
    </row>
    <row r="1684" spans="7:9" ht="12.75">
      <c r="G1684" s="66"/>
      <c r="H1684" s="66"/>
      <c r="I1684" s="66"/>
    </row>
    <row r="1685" spans="7:9" ht="12.75">
      <c r="G1685" s="66"/>
      <c r="H1685" s="66"/>
      <c r="I1685" s="66"/>
    </row>
    <row r="1686" spans="7:9" ht="12.75">
      <c r="G1686" s="66"/>
      <c r="H1686" s="66"/>
      <c r="I1686" s="66"/>
    </row>
    <row r="1687" spans="7:9" ht="12.75">
      <c r="G1687" s="66"/>
      <c r="H1687" s="66"/>
      <c r="I1687" s="66"/>
    </row>
    <row r="1688" spans="7:9" ht="12.75">
      <c r="G1688" s="66"/>
      <c r="H1688" s="66"/>
      <c r="I1688" s="66"/>
    </row>
    <row r="1689" spans="7:9" ht="12.75">
      <c r="G1689" s="66"/>
      <c r="H1689" s="66"/>
      <c r="I1689" s="66"/>
    </row>
    <row r="1690" spans="7:9" ht="12.75">
      <c r="G1690" s="66"/>
      <c r="H1690" s="66"/>
      <c r="I1690" s="66"/>
    </row>
    <row r="1691" spans="7:9" ht="12.75">
      <c r="G1691" s="66"/>
      <c r="H1691" s="66"/>
      <c r="I1691" s="66"/>
    </row>
    <row r="1692" spans="7:9" ht="12.75">
      <c r="G1692" s="66"/>
      <c r="H1692" s="66"/>
      <c r="I1692" s="66"/>
    </row>
    <row r="1693" spans="7:9" ht="12.75">
      <c r="G1693" s="66"/>
      <c r="H1693" s="66"/>
      <c r="I1693" s="66"/>
    </row>
    <row r="1694" spans="7:9" ht="12.75">
      <c r="G1694" s="66"/>
      <c r="H1694" s="66"/>
      <c r="I1694" s="66"/>
    </row>
    <row r="1695" spans="7:9" ht="12.75">
      <c r="G1695" s="66"/>
      <c r="H1695" s="66"/>
      <c r="I1695" s="66"/>
    </row>
    <row r="1696" spans="7:9" ht="12.75">
      <c r="G1696" s="66"/>
      <c r="H1696" s="66"/>
      <c r="I1696" s="66"/>
    </row>
    <row r="1697" spans="7:9" ht="12.75">
      <c r="G1697" s="66"/>
      <c r="H1697" s="66"/>
      <c r="I1697" s="66"/>
    </row>
    <row r="1698" spans="7:9" ht="12.75">
      <c r="G1698" s="66"/>
      <c r="H1698" s="66"/>
      <c r="I1698" s="66"/>
    </row>
    <row r="1699" spans="7:9" ht="12.75">
      <c r="G1699" s="66"/>
      <c r="H1699" s="66"/>
      <c r="I1699" s="66"/>
    </row>
    <row r="1700" spans="7:9" ht="12.75">
      <c r="G1700" s="66"/>
      <c r="H1700" s="66"/>
      <c r="I1700" s="66"/>
    </row>
    <row r="1701" spans="7:9" ht="12.75">
      <c r="G1701" s="66"/>
      <c r="H1701" s="66"/>
      <c r="I1701" s="66"/>
    </row>
    <row r="1702" spans="7:9" ht="12.75">
      <c r="G1702" s="66"/>
      <c r="H1702" s="66"/>
      <c r="I1702" s="66"/>
    </row>
    <row r="1703" spans="7:9" ht="12.75">
      <c r="G1703" s="66"/>
      <c r="H1703" s="66"/>
      <c r="I1703" s="66"/>
    </row>
    <row r="1704" spans="7:9" ht="12.75">
      <c r="G1704" s="66"/>
      <c r="H1704" s="66"/>
      <c r="I1704" s="66"/>
    </row>
    <row r="1705" spans="7:9" ht="12.75">
      <c r="G1705" s="66"/>
      <c r="H1705" s="66"/>
      <c r="I1705" s="66"/>
    </row>
    <row r="1706" spans="7:9" ht="12.75">
      <c r="G1706" s="66"/>
      <c r="H1706" s="66"/>
      <c r="I1706" s="66"/>
    </row>
    <row r="1707" spans="7:9" ht="12.75">
      <c r="G1707" s="66"/>
      <c r="H1707" s="66"/>
      <c r="I1707" s="66"/>
    </row>
    <row r="1708" spans="7:9" ht="12.75">
      <c r="G1708" s="66"/>
      <c r="H1708" s="66"/>
      <c r="I1708" s="66"/>
    </row>
    <row r="1709" spans="7:9" ht="12.75">
      <c r="G1709" s="66"/>
      <c r="H1709" s="66"/>
      <c r="I1709" s="66"/>
    </row>
    <row r="1710" spans="7:9" ht="12.75">
      <c r="G1710" s="66"/>
      <c r="H1710" s="66"/>
      <c r="I1710" s="66"/>
    </row>
    <row r="1711" spans="7:9" ht="12.75">
      <c r="G1711" s="66"/>
      <c r="H1711" s="66"/>
      <c r="I1711" s="66"/>
    </row>
    <row r="1712" spans="7:9" ht="12.75">
      <c r="G1712" s="66"/>
      <c r="H1712" s="66"/>
      <c r="I1712" s="66"/>
    </row>
    <row r="1713" spans="7:9" ht="12.75">
      <c r="G1713" s="66"/>
      <c r="H1713" s="66"/>
      <c r="I1713" s="66"/>
    </row>
    <row r="1714" spans="7:9" ht="12.75">
      <c r="G1714" s="66"/>
      <c r="H1714" s="66"/>
      <c r="I1714" s="66"/>
    </row>
    <row r="1715" spans="7:9" ht="12.75">
      <c r="G1715" s="66"/>
      <c r="H1715" s="66"/>
      <c r="I1715" s="66"/>
    </row>
    <row r="1716" spans="7:9" ht="12.75">
      <c r="G1716" s="66"/>
      <c r="H1716" s="66"/>
      <c r="I1716" s="66"/>
    </row>
    <row r="1717" spans="7:9" ht="12.75">
      <c r="G1717" s="66"/>
      <c r="H1717" s="66"/>
      <c r="I1717" s="66"/>
    </row>
    <row r="1718" spans="7:9" ht="12.75">
      <c r="G1718" s="66"/>
      <c r="H1718" s="66"/>
      <c r="I1718" s="66"/>
    </row>
    <row r="1719" spans="7:9" ht="12.75">
      <c r="G1719" s="66"/>
      <c r="H1719" s="66"/>
      <c r="I1719" s="66"/>
    </row>
    <row r="1720" spans="7:9" ht="12.75">
      <c r="G1720" s="66"/>
      <c r="H1720" s="66"/>
      <c r="I1720" s="66"/>
    </row>
    <row r="1721" spans="7:9" ht="12.75">
      <c r="G1721" s="66"/>
      <c r="H1721" s="66"/>
      <c r="I1721" s="66"/>
    </row>
    <row r="1722" spans="7:9" ht="12.75">
      <c r="G1722" s="66"/>
      <c r="H1722" s="66"/>
      <c r="I1722" s="66"/>
    </row>
    <row r="1723" spans="7:9" ht="12.75">
      <c r="G1723" s="66"/>
      <c r="H1723" s="66"/>
      <c r="I1723" s="66"/>
    </row>
    <row r="1724" spans="7:9" ht="12.75">
      <c r="G1724" s="66"/>
      <c r="H1724" s="66"/>
      <c r="I1724" s="66"/>
    </row>
    <row r="1725" spans="7:9" ht="12.75">
      <c r="G1725" s="66"/>
      <c r="H1725" s="66"/>
      <c r="I1725" s="66"/>
    </row>
    <row r="1726" spans="7:9" ht="12.75">
      <c r="G1726" s="66"/>
      <c r="H1726" s="66"/>
      <c r="I1726" s="66"/>
    </row>
    <row r="1727" spans="7:9" ht="12.75">
      <c r="G1727" s="66"/>
      <c r="H1727" s="66"/>
      <c r="I1727" s="66"/>
    </row>
    <row r="1728" spans="7:9" ht="12.75">
      <c r="G1728" s="66"/>
      <c r="H1728" s="66"/>
      <c r="I1728" s="66"/>
    </row>
    <row r="1729" spans="7:9" ht="12.75">
      <c r="G1729" s="66"/>
      <c r="H1729" s="66"/>
      <c r="I1729" s="66"/>
    </row>
    <row r="1730" spans="7:9" ht="12.75">
      <c r="G1730" s="66"/>
      <c r="H1730" s="66"/>
      <c r="I1730" s="66"/>
    </row>
    <row r="1731" spans="7:9" ht="12.75">
      <c r="G1731" s="66"/>
      <c r="H1731" s="66"/>
      <c r="I1731" s="66"/>
    </row>
    <row r="1732" spans="7:9" ht="12.75">
      <c r="G1732" s="66"/>
      <c r="H1732" s="66"/>
      <c r="I1732" s="66"/>
    </row>
    <row r="1733" spans="7:9" ht="12.75">
      <c r="G1733" s="66"/>
      <c r="H1733" s="66"/>
      <c r="I1733" s="66"/>
    </row>
    <row r="1734" spans="7:9" ht="12.75">
      <c r="G1734" s="66"/>
      <c r="H1734" s="66"/>
      <c r="I1734" s="66"/>
    </row>
    <row r="1735" spans="7:9" ht="12.75">
      <c r="G1735" s="66"/>
      <c r="H1735" s="66"/>
      <c r="I1735" s="66"/>
    </row>
    <row r="1736" spans="7:9" ht="12.75">
      <c r="G1736" s="66"/>
      <c r="H1736" s="66"/>
      <c r="I1736" s="66"/>
    </row>
    <row r="1737" spans="7:9" ht="12.75">
      <c r="G1737" s="66"/>
      <c r="H1737" s="66"/>
      <c r="I1737" s="66"/>
    </row>
    <row r="1738" spans="7:9" ht="12.75">
      <c r="G1738" s="66"/>
      <c r="H1738" s="66"/>
      <c r="I1738" s="66"/>
    </row>
    <row r="1739" spans="7:9" ht="12.75">
      <c r="G1739" s="66"/>
      <c r="H1739" s="66"/>
      <c r="I1739" s="66"/>
    </row>
    <row r="1740" spans="7:9" ht="12.75">
      <c r="G1740" s="66"/>
      <c r="H1740" s="66"/>
      <c r="I1740" s="66"/>
    </row>
    <row r="1741" spans="7:9" ht="12.75">
      <c r="G1741" s="66"/>
      <c r="H1741" s="66"/>
      <c r="I1741" s="66"/>
    </row>
    <row r="1742" spans="7:9" ht="12.75">
      <c r="G1742" s="66"/>
      <c r="H1742" s="66"/>
      <c r="I1742" s="66"/>
    </row>
    <row r="1743" spans="7:9" ht="12.75">
      <c r="G1743" s="66"/>
      <c r="H1743" s="66"/>
      <c r="I1743" s="66"/>
    </row>
    <row r="1744" spans="7:9" ht="12.75">
      <c r="G1744" s="66"/>
      <c r="H1744" s="66"/>
      <c r="I1744" s="66"/>
    </row>
    <row r="1745" spans="7:9" ht="12.75">
      <c r="G1745" s="66"/>
      <c r="H1745" s="66"/>
      <c r="I1745" s="66"/>
    </row>
    <row r="1746" spans="7:9" ht="12.75">
      <c r="G1746" s="66"/>
      <c r="H1746" s="66"/>
      <c r="I1746" s="66"/>
    </row>
    <row r="1747" spans="7:9" ht="12.75">
      <c r="G1747" s="66"/>
      <c r="H1747" s="66"/>
      <c r="I1747" s="66"/>
    </row>
    <row r="1748" spans="7:9" ht="12.75">
      <c r="G1748" s="66"/>
      <c r="H1748" s="66"/>
      <c r="I1748" s="66"/>
    </row>
    <row r="1749" spans="7:9" ht="12.75">
      <c r="G1749" s="66"/>
      <c r="H1749" s="66"/>
      <c r="I1749" s="66"/>
    </row>
    <row r="1750" spans="7:9" ht="12.75">
      <c r="G1750" s="66"/>
      <c r="H1750" s="66"/>
      <c r="I1750" s="66"/>
    </row>
    <row r="1751" spans="7:9" ht="12.75">
      <c r="G1751" s="66"/>
      <c r="H1751" s="66"/>
      <c r="I1751" s="66"/>
    </row>
    <row r="1752" spans="7:9" ht="12.75">
      <c r="G1752" s="66"/>
      <c r="H1752" s="66"/>
      <c r="I1752" s="66"/>
    </row>
    <row r="1753" spans="7:9" ht="12.75">
      <c r="G1753" s="66"/>
      <c r="H1753" s="66"/>
      <c r="I1753" s="66"/>
    </row>
    <row r="1754" spans="7:9" ht="12.75">
      <c r="G1754" s="66"/>
      <c r="H1754" s="66"/>
      <c r="I1754" s="66"/>
    </row>
    <row r="1755" spans="7:9" ht="12.75">
      <c r="G1755" s="66"/>
      <c r="H1755" s="66"/>
      <c r="I1755" s="66"/>
    </row>
    <row r="1756" spans="7:9" ht="12.75">
      <c r="G1756" s="66"/>
      <c r="H1756" s="66"/>
      <c r="I1756" s="66"/>
    </row>
    <row r="1757" spans="7:9" ht="12.75">
      <c r="G1757" s="66"/>
      <c r="H1757" s="66"/>
      <c r="I1757" s="66"/>
    </row>
    <row r="1758" spans="7:9" ht="12.75">
      <c r="G1758" s="66"/>
      <c r="H1758" s="66"/>
      <c r="I1758" s="66"/>
    </row>
    <row r="1759" spans="7:9" ht="12.75">
      <c r="G1759" s="66"/>
      <c r="H1759" s="66"/>
      <c r="I1759" s="66"/>
    </row>
    <row r="1760" spans="7:9" ht="12.75">
      <c r="G1760" s="66"/>
      <c r="H1760" s="66"/>
      <c r="I1760" s="66"/>
    </row>
    <row r="1761" spans="7:9" ht="12.75">
      <c r="G1761" s="66"/>
      <c r="H1761" s="66"/>
      <c r="I1761" s="66"/>
    </row>
    <row r="1762" spans="7:9" ht="12.75">
      <c r="G1762" s="66"/>
      <c r="H1762" s="66"/>
      <c r="I1762" s="66"/>
    </row>
    <row r="1763" spans="7:9" ht="12.75">
      <c r="G1763" s="66"/>
      <c r="H1763" s="66"/>
      <c r="I1763" s="66"/>
    </row>
    <row r="1764" spans="7:9" ht="12.75">
      <c r="G1764" s="66"/>
      <c r="H1764" s="66"/>
      <c r="I1764" s="66"/>
    </row>
    <row r="1765" spans="7:9" ht="12.75">
      <c r="G1765" s="66"/>
      <c r="H1765" s="66"/>
      <c r="I1765" s="66"/>
    </row>
    <row r="1766" spans="7:9" ht="12.75">
      <c r="G1766" s="66"/>
      <c r="H1766" s="66"/>
      <c r="I1766" s="66"/>
    </row>
    <row r="1767" spans="7:9" ht="12.75">
      <c r="G1767" s="66"/>
      <c r="H1767" s="66"/>
      <c r="I1767" s="66"/>
    </row>
    <row r="1768" spans="7:9" ht="12.75">
      <c r="G1768" s="66"/>
      <c r="H1768" s="66"/>
      <c r="I1768" s="66"/>
    </row>
    <row r="1769" spans="7:9" ht="12.75">
      <c r="G1769" s="66"/>
      <c r="H1769" s="66"/>
      <c r="I1769" s="66"/>
    </row>
    <row r="1770" spans="7:9" ht="12.75">
      <c r="G1770" s="66"/>
      <c r="H1770" s="66"/>
      <c r="I1770" s="66"/>
    </row>
    <row r="1771" spans="7:9" ht="12.75">
      <c r="G1771" s="66"/>
      <c r="H1771" s="66"/>
      <c r="I1771" s="66"/>
    </row>
    <row r="1772" spans="7:9" ht="12.75">
      <c r="G1772" s="66"/>
      <c r="H1772" s="66"/>
      <c r="I1772" s="66"/>
    </row>
    <row r="1773" spans="7:9" ht="12.75">
      <c r="G1773" s="66"/>
      <c r="H1773" s="66"/>
      <c r="I1773" s="66"/>
    </row>
    <row r="1774" spans="7:9" ht="12.75">
      <c r="G1774" s="66"/>
      <c r="H1774" s="66"/>
      <c r="I1774" s="66"/>
    </row>
    <row r="1775" spans="7:9" ht="12.75">
      <c r="G1775" s="66"/>
      <c r="H1775" s="66"/>
      <c r="I1775" s="66"/>
    </row>
    <row r="1776" spans="7:9" ht="12.75">
      <c r="G1776" s="66"/>
      <c r="H1776" s="66"/>
      <c r="I1776" s="66"/>
    </row>
    <row r="1777" spans="7:9" ht="12.75">
      <c r="G1777" s="66"/>
      <c r="H1777" s="66"/>
      <c r="I1777" s="66"/>
    </row>
    <row r="1778" spans="7:9" ht="12.75">
      <c r="G1778" s="66"/>
      <c r="H1778" s="66"/>
      <c r="I1778" s="66"/>
    </row>
    <row r="1779" spans="7:9" ht="12.75">
      <c r="G1779" s="66"/>
      <c r="H1779" s="66"/>
      <c r="I1779" s="66"/>
    </row>
    <row r="1780" spans="7:9" ht="12.75">
      <c r="G1780" s="66"/>
      <c r="H1780" s="66"/>
      <c r="I1780" s="66"/>
    </row>
    <row r="1781" spans="7:9" ht="12.75">
      <c r="G1781" s="66"/>
      <c r="H1781" s="66"/>
      <c r="I1781" s="66"/>
    </row>
    <row r="1782" spans="7:9" ht="12.75">
      <c r="G1782" s="66"/>
      <c r="H1782" s="66"/>
      <c r="I1782" s="66"/>
    </row>
    <row r="1783" spans="7:9" ht="12.75">
      <c r="G1783" s="66"/>
      <c r="H1783" s="66"/>
      <c r="I1783" s="66"/>
    </row>
    <row r="1784" spans="7:9" ht="12.75">
      <c r="G1784" s="66"/>
      <c r="H1784" s="66"/>
      <c r="I1784" s="66"/>
    </row>
    <row r="1785" spans="7:9" ht="12.75">
      <c r="G1785" s="66"/>
      <c r="H1785" s="66"/>
      <c r="I1785" s="66"/>
    </row>
    <row r="1786" spans="7:9" ht="12.75">
      <c r="G1786" s="66"/>
      <c r="H1786" s="66"/>
      <c r="I1786" s="66"/>
    </row>
    <row r="1787" spans="7:9" ht="12.75">
      <c r="G1787" s="66"/>
      <c r="H1787" s="66"/>
      <c r="I1787" s="66"/>
    </row>
    <row r="1788" spans="7:9" ht="12.75">
      <c r="G1788" s="66"/>
      <c r="H1788" s="66"/>
      <c r="I1788" s="66"/>
    </row>
    <row r="1789" spans="7:9" ht="12.75">
      <c r="G1789" s="66"/>
      <c r="H1789" s="66"/>
      <c r="I1789" s="66"/>
    </row>
    <row r="1790" spans="7:9" ht="12.75">
      <c r="G1790" s="66"/>
      <c r="H1790" s="66"/>
      <c r="I1790" s="66"/>
    </row>
    <row r="1791" spans="7:9" ht="12.75">
      <c r="G1791" s="66"/>
      <c r="H1791" s="66"/>
      <c r="I1791" s="66"/>
    </row>
    <row r="1792" spans="7:9" ht="12.75">
      <c r="G1792" s="66"/>
      <c r="H1792" s="66"/>
      <c r="I1792" s="66"/>
    </row>
    <row r="1793" spans="7:9" ht="12.75">
      <c r="G1793" s="66"/>
      <c r="H1793" s="66"/>
      <c r="I1793" s="66"/>
    </row>
    <row r="1794" spans="7:9" ht="12.75">
      <c r="G1794" s="66"/>
      <c r="H1794" s="66"/>
      <c r="I1794" s="66"/>
    </row>
    <row r="1795" spans="7:9" ht="12.75">
      <c r="G1795" s="66"/>
      <c r="H1795" s="66"/>
      <c r="I1795" s="66"/>
    </row>
    <row r="1796" spans="7:9" ht="12.75">
      <c r="G1796" s="66"/>
      <c r="H1796" s="66"/>
      <c r="I1796" s="66"/>
    </row>
    <row r="1797" spans="7:9" ht="12.75">
      <c r="G1797" s="66"/>
      <c r="H1797" s="66"/>
      <c r="I1797" s="66"/>
    </row>
    <row r="1798" spans="7:9" ht="12.75">
      <c r="G1798" s="66"/>
      <c r="H1798" s="66"/>
      <c r="I1798" s="66"/>
    </row>
    <row r="1799" spans="7:9" ht="12.75">
      <c r="G1799" s="66"/>
      <c r="H1799" s="66"/>
      <c r="I1799" s="66"/>
    </row>
    <row r="1800" spans="7:9" ht="12.75">
      <c r="G1800" s="66"/>
      <c r="H1800" s="66"/>
      <c r="I1800" s="66"/>
    </row>
    <row r="1801" spans="7:9" ht="12.75">
      <c r="G1801" s="66"/>
      <c r="H1801" s="66"/>
      <c r="I1801" s="66"/>
    </row>
    <row r="1802" spans="7:9" ht="12.75">
      <c r="G1802" s="66"/>
      <c r="H1802" s="66"/>
      <c r="I1802" s="66"/>
    </row>
    <row r="1803" spans="7:9" ht="12.75">
      <c r="G1803" s="66"/>
      <c r="H1803" s="66"/>
      <c r="I1803" s="66"/>
    </row>
    <row r="1804" spans="7:9" ht="12.75">
      <c r="G1804" s="66"/>
      <c r="H1804" s="66"/>
      <c r="I1804" s="66"/>
    </row>
    <row r="1805" spans="7:9" ht="12.75">
      <c r="G1805" s="66"/>
      <c r="H1805" s="66"/>
      <c r="I1805" s="66"/>
    </row>
    <row r="1806" spans="7:9" ht="12.75">
      <c r="G1806" s="66"/>
      <c r="H1806" s="66"/>
      <c r="I1806" s="66"/>
    </row>
    <row r="1807" spans="7:9" ht="12.75">
      <c r="G1807" s="66"/>
      <c r="H1807" s="66"/>
      <c r="I1807" s="66"/>
    </row>
    <row r="1808" spans="7:9" ht="12.75">
      <c r="G1808" s="66"/>
      <c r="H1808" s="66"/>
      <c r="I1808" s="66"/>
    </row>
    <row r="1809" spans="7:9" ht="12.75">
      <c r="G1809" s="66"/>
      <c r="H1809" s="66"/>
      <c r="I1809" s="66"/>
    </row>
    <row r="1810" spans="7:9" ht="12.75">
      <c r="G1810" s="66"/>
      <c r="H1810" s="66"/>
      <c r="I1810" s="66"/>
    </row>
    <row r="1811" spans="7:9" ht="12.75">
      <c r="G1811" s="66"/>
      <c r="H1811" s="66"/>
      <c r="I1811" s="66"/>
    </row>
    <row r="1812" spans="7:9" ht="12.75">
      <c r="G1812" s="66"/>
      <c r="H1812" s="66"/>
      <c r="I1812" s="66"/>
    </row>
    <row r="1813" spans="7:9" ht="12.75">
      <c r="G1813" s="66"/>
      <c r="H1813" s="66"/>
      <c r="I1813" s="66"/>
    </row>
    <row r="1814" spans="7:9" ht="12.75">
      <c r="G1814" s="66"/>
      <c r="H1814" s="66"/>
      <c r="I1814" s="66"/>
    </row>
    <row r="1815" spans="7:9" ht="12.75">
      <c r="G1815" s="66"/>
      <c r="H1815" s="66"/>
      <c r="I1815" s="66"/>
    </row>
    <row r="1816" spans="7:9" ht="12.75">
      <c r="G1816" s="66"/>
      <c r="H1816" s="66"/>
      <c r="I1816" s="66"/>
    </row>
    <row r="1817" spans="7:9" ht="12.75">
      <c r="G1817" s="66"/>
      <c r="H1817" s="66"/>
      <c r="I1817" s="66"/>
    </row>
    <row r="1818" spans="7:9" ht="12.75">
      <c r="G1818" s="66"/>
      <c r="H1818" s="66"/>
      <c r="I1818" s="66"/>
    </row>
    <row r="1819" spans="7:9" ht="12.75">
      <c r="G1819" s="66"/>
      <c r="H1819" s="66"/>
      <c r="I1819" s="66"/>
    </row>
    <row r="1820" spans="7:9" ht="12.75">
      <c r="G1820" s="66"/>
      <c r="H1820" s="66"/>
      <c r="I1820" s="66"/>
    </row>
    <row r="1821" spans="7:9" ht="12.75">
      <c r="G1821" s="66"/>
      <c r="H1821" s="66"/>
      <c r="I1821" s="66"/>
    </row>
    <row r="1822" spans="7:9" ht="12.75">
      <c r="G1822" s="66"/>
      <c r="H1822" s="66"/>
      <c r="I1822" s="66"/>
    </row>
    <row r="1823" spans="7:9" ht="12.75">
      <c r="G1823" s="66"/>
      <c r="H1823" s="66"/>
      <c r="I1823" s="66"/>
    </row>
    <row r="1824" spans="7:9" ht="12.75">
      <c r="G1824" s="66"/>
      <c r="H1824" s="66"/>
      <c r="I1824" s="66"/>
    </row>
    <row r="1825" spans="7:9" ht="12.75">
      <c r="G1825" s="66"/>
      <c r="H1825" s="66"/>
      <c r="I1825" s="66"/>
    </row>
    <row r="1826" spans="7:9" ht="12.75">
      <c r="G1826" s="66"/>
      <c r="H1826" s="66"/>
      <c r="I1826" s="66"/>
    </row>
    <row r="1827" spans="7:9" ht="12.75">
      <c r="G1827" s="66"/>
      <c r="H1827" s="66"/>
      <c r="I1827" s="66"/>
    </row>
    <row r="1828" spans="7:9" ht="12.75">
      <c r="G1828" s="66"/>
      <c r="H1828" s="66"/>
      <c r="I1828" s="66"/>
    </row>
    <row r="1829" spans="7:9" ht="12.75">
      <c r="G1829" s="66"/>
      <c r="H1829" s="66"/>
      <c r="I1829" s="66"/>
    </row>
    <row r="1830" spans="7:9" ht="12.75">
      <c r="G1830" s="66"/>
      <c r="H1830" s="66"/>
      <c r="I1830" s="66"/>
    </row>
    <row r="1831" spans="7:9" ht="12.75">
      <c r="G1831" s="66"/>
      <c r="H1831" s="66"/>
      <c r="I1831" s="66"/>
    </row>
    <row r="1832" spans="7:9" ht="12.75">
      <c r="G1832" s="66"/>
      <c r="H1832" s="66"/>
      <c r="I1832" s="66"/>
    </row>
    <row r="1833" spans="7:9" ht="12.75">
      <c r="G1833" s="66"/>
      <c r="H1833" s="66"/>
      <c r="I1833" s="66"/>
    </row>
    <row r="1834" spans="7:9" ht="12.75">
      <c r="G1834" s="66"/>
      <c r="H1834" s="66"/>
      <c r="I1834" s="66"/>
    </row>
    <row r="1835" spans="7:9" ht="12.75">
      <c r="G1835" s="66"/>
      <c r="H1835" s="66"/>
      <c r="I1835" s="66"/>
    </row>
    <row r="1836" spans="7:9" ht="12.75">
      <c r="G1836" s="66"/>
      <c r="H1836" s="66"/>
      <c r="I1836" s="66"/>
    </row>
    <row r="1837" spans="7:9" ht="12.75">
      <c r="G1837" s="66"/>
      <c r="H1837" s="66"/>
      <c r="I1837" s="66"/>
    </row>
    <row r="1838" spans="7:9" ht="12.75">
      <c r="G1838" s="66"/>
      <c r="H1838" s="66"/>
      <c r="I1838" s="66"/>
    </row>
    <row r="1839" spans="7:9" ht="12.75">
      <c r="G1839" s="66"/>
      <c r="H1839" s="66"/>
      <c r="I1839" s="66"/>
    </row>
    <row r="1840" spans="7:9" ht="12.75">
      <c r="G1840" s="66"/>
      <c r="H1840" s="66"/>
      <c r="I1840" s="66"/>
    </row>
    <row r="1841" spans="7:9" ht="12.75">
      <c r="G1841" s="66"/>
      <c r="H1841" s="66"/>
      <c r="I1841" s="66"/>
    </row>
    <row r="1842" spans="7:9" ht="12.75">
      <c r="G1842" s="66"/>
      <c r="H1842" s="66"/>
      <c r="I1842" s="66"/>
    </row>
    <row r="1843" spans="7:9" ht="12.75">
      <c r="G1843" s="66"/>
      <c r="H1843" s="66"/>
      <c r="I1843" s="66"/>
    </row>
    <row r="1844" spans="7:9" ht="12.75">
      <c r="G1844" s="66"/>
      <c r="H1844" s="66"/>
      <c r="I1844" s="66"/>
    </row>
    <row r="1845" spans="7:9" ht="12.75">
      <c r="G1845" s="66"/>
      <c r="H1845" s="66"/>
      <c r="I1845" s="66"/>
    </row>
    <row r="1846" spans="7:9" ht="12.75">
      <c r="G1846" s="66"/>
      <c r="H1846" s="66"/>
      <c r="I1846" s="66"/>
    </row>
    <row r="1847" spans="7:9" ht="12.75">
      <c r="G1847" s="66"/>
      <c r="H1847" s="66"/>
      <c r="I1847" s="66"/>
    </row>
    <row r="1848" spans="7:9" ht="12.75">
      <c r="G1848" s="66"/>
      <c r="H1848" s="66"/>
      <c r="I1848" s="66"/>
    </row>
    <row r="1849" spans="7:9" ht="12.75">
      <c r="G1849" s="66"/>
      <c r="H1849" s="66"/>
      <c r="I1849" s="66"/>
    </row>
    <row r="1850" spans="7:9" ht="12.75">
      <c r="G1850" s="66"/>
      <c r="H1850" s="66"/>
      <c r="I1850" s="66"/>
    </row>
    <row r="1851" spans="7:9" ht="12.75">
      <c r="G1851" s="66"/>
      <c r="H1851" s="66"/>
      <c r="I1851" s="66"/>
    </row>
    <row r="1852" spans="7:9" ht="12.75">
      <c r="G1852" s="66"/>
      <c r="H1852" s="66"/>
      <c r="I1852" s="66"/>
    </row>
    <row r="1853" spans="7:9" ht="12.75">
      <c r="G1853" s="66"/>
      <c r="H1853" s="66"/>
      <c r="I1853" s="66"/>
    </row>
    <row r="1854" spans="7:9" ht="12.75">
      <c r="G1854" s="66"/>
      <c r="H1854" s="66"/>
      <c r="I1854" s="66"/>
    </row>
    <row r="1855" spans="7:9" ht="12.75">
      <c r="G1855" s="66"/>
      <c r="H1855" s="66"/>
      <c r="I1855" s="66"/>
    </row>
    <row r="1856" spans="7:9" ht="12.75">
      <c r="G1856" s="66"/>
      <c r="H1856" s="66"/>
      <c r="I1856" s="66"/>
    </row>
    <row r="1857" spans="7:9" ht="12.75">
      <c r="G1857" s="66"/>
      <c r="H1857" s="66"/>
      <c r="I1857" s="66"/>
    </row>
    <row r="1858" spans="7:9" ht="12.75">
      <c r="G1858" s="66"/>
      <c r="H1858" s="66"/>
      <c r="I1858" s="66"/>
    </row>
    <row r="1859" spans="7:9" ht="12.75">
      <c r="G1859" s="66"/>
      <c r="H1859" s="66"/>
      <c r="I1859" s="66"/>
    </row>
    <row r="1860" spans="7:9" ht="12.75">
      <c r="G1860" s="66"/>
      <c r="H1860" s="66"/>
      <c r="I1860" s="66"/>
    </row>
    <row r="1861" spans="7:9" ht="12.75">
      <c r="G1861" s="66"/>
      <c r="H1861" s="66"/>
      <c r="I1861" s="66"/>
    </row>
    <row r="1862" spans="7:9" ht="12.75">
      <c r="G1862" s="66"/>
      <c r="H1862" s="66"/>
      <c r="I1862" s="66"/>
    </row>
    <row r="1863" spans="7:9" ht="12.75">
      <c r="G1863" s="66"/>
      <c r="H1863" s="66"/>
      <c r="I1863" s="66"/>
    </row>
    <row r="1864" spans="7:9" ht="12.75">
      <c r="G1864" s="66"/>
      <c r="H1864" s="66"/>
      <c r="I1864" s="66"/>
    </row>
    <row r="1865" spans="7:9" ht="12.75">
      <c r="G1865" s="66"/>
      <c r="H1865" s="66"/>
      <c r="I1865" s="66"/>
    </row>
    <row r="1866" spans="7:9" ht="12.75">
      <c r="G1866" s="66"/>
      <c r="H1866" s="66"/>
      <c r="I1866" s="66"/>
    </row>
    <row r="1867" spans="7:9" ht="12.75">
      <c r="G1867" s="66"/>
      <c r="H1867" s="66"/>
      <c r="I1867" s="66"/>
    </row>
    <row r="1868" spans="7:9" ht="12.75">
      <c r="G1868" s="66"/>
      <c r="H1868" s="66"/>
      <c r="I1868" s="66"/>
    </row>
    <row r="1869" spans="7:9" ht="12.75">
      <c r="G1869" s="66"/>
      <c r="H1869" s="66"/>
      <c r="I1869" s="66"/>
    </row>
    <row r="1870" spans="7:9" ht="12.75">
      <c r="G1870" s="66"/>
      <c r="H1870" s="66"/>
      <c r="I1870" s="66"/>
    </row>
    <row r="1871" spans="7:9" ht="12.75">
      <c r="G1871" s="66"/>
      <c r="H1871" s="66"/>
      <c r="I1871" s="66"/>
    </row>
    <row r="1872" spans="7:9" ht="12.75">
      <c r="G1872" s="66"/>
      <c r="H1872" s="66"/>
      <c r="I1872" s="66"/>
    </row>
    <row r="1873" spans="7:9" ht="12.75">
      <c r="G1873" s="66"/>
      <c r="H1873" s="66"/>
      <c r="I1873" s="66"/>
    </row>
    <row r="1874" spans="7:9" ht="12.75">
      <c r="G1874" s="66"/>
      <c r="H1874" s="66"/>
      <c r="I1874" s="66"/>
    </row>
    <row r="1875" spans="7:9" ht="12.75">
      <c r="G1875" s="66"/>
      <c r="H1875" s="66"/>
      <c r="I1875" s="66"/>
    </row>
    <row r="1876" spans="7:9" ht="12.75">
      <c r="G1876" s="66"/>
      <c r="H1876" s="66"/>
      <c r="I1876" s="66"/>
    </row>
    <row r="1877" spans="7:9" ht="12.75">
      <c r="G1877" s="66"/>
      <c r="H1877" s="66"/>
      <c r="I1877" s="66"/>
    </row>
    <row r="1878" spans="7:9" ht="12.75">
      <c r="G1878" s="66"/>
      <c r="H1878" s="66"/>
      <c r="I1878" s="66"/>
    </row>
    <row r="1879" spans="7:9" ht="12.75">
      <c r="G1879" s="66"/>
      <c r="H1879" s="66"/>
      <c r="I1879" s="66"/>
    </row>
    <row r="1880" spans="7:9" ht="12.75">
      <c r="G1880" s="66"/>
      <c r="H1880" s="66"/>
      <c r="I1880" s="66"/>
    </row>
    <row r="1881" spans="7:9" ht="12.75">
      <c r="G1881" s="66"/>
      <c r="H1881" s="66"/>
      <c r="I1881" s="66"/>
    </row>
    <row r="1882" spans="7:9" ht="12.75">
      <c r="G1882" s="66"/>
      <c r="H1882" s="66"/>
      <c r="I1882" s="66"/>
    </row>
    <row r="1883" spans="7:9" ht="12.75">
      <c r="G1883" s="66"/>
      <c r="H1883" s="66"/>
      <c r="I1883" s="66"/>
    </row>
    <row r="1884" spans="7:9" ht="12.75">
      <c r="G1884" s="66"/>
      <c r="H1884" s="66"/>
      <c r="I1884" s="66"/>
    </row>
    <row r="1885" spans="7:9" ht="12.75">
      <c r="G1885" s="66"/>
      <c r="H1885" s="66"/>
      <c r="I1885" s="66"/>
    </row>
    <row r="1886" spans="7:9" ht="12.75">
      <c r="G1886" s="66"/>
      <c r="H1886" s="66"/>
      <c r="I1886" s="66"/>
    </row>
    <row r="1887" spans="7:9" ht="12.75">
      <c r="G1887" s="66"/>
      <c r="H1887" s="66"/>
      <c r="I1887" s="66"/>
    </row>
    <row r="1888" spans="7:9" ht="12.75">
      <c r="G1888" s="66"/>
      <c r="H1888" s="66"/>
      <c r="I1888" s="66"/>
    </row>
    <row r="1889" spans="7:9" ht="12.75">
      <c r="G1889" s="66"/>
      <c r="H1889" s="66"/>
      <c r="I1889" s="66"/>
    </row>
    <row r="1890" spans="7:9" ht="12.75">
      <c r="G1890" s="66"/>
      <c r="H1890" s="66"/>
      <c r="I1890" s="66"/>
    </row>
    <row r="1891" spans="7:9" ht="12.75">
      <c r="G1891" s="66"/>
      <c r="H1891" s="66"/>
      <c r="I1891" s="66"/>
    </row>
    <row r="1892" spans="7:9" ht="12.75">
      <c r="G1892" s="66"/>
      <c r="H1892" s="66"/>
      <c r="I1892" s="66"/>
    </row>
    <row r="1893" spans="7:9" ht="12.75">
      <c r="G1893" s="66"/>
      <c r="H1893" s="66"/>
      <c r="I1893" s="66"/>
    </row>
    <row r="1894" spans="7:9" ht="12.75">
      <c r="G1894" s="66"/>
      <c r="H1894" s="66"/>
      <c r="I1894" s="66"/>
    </row>
    <row r="1895" spans="7:9" ht="12.75">
      <c r="G1895" s="66"/>
      <c r="H1895" s="66"/>
      <c r="I1895" s="66"/>
    </row>
    <row r="1896" spans="7:9" ht="12.75">
      <c r="G1896" s="66"/>
      <c r="H1896" s="66"/>
      <c r="I1896" s="66"/>
    </row>
    <row r="1897" spans="7:9" ht="12.75">
      <c r="G1897" s="66"/>
      <c r="H1897" s="66"/>
      <c r="I1897" s="66"/>
    </row>
    <row r="1898" spans="7:9" ht="12.75">
      <c r="G1898" s="66"/>
      <c r="H1898" s="66"/>
      <c r="I1898" s="66"/>
    </row>
    <row r="1899" spans="7:9" ht="12.75">
      <c r="G1899" s="66"/>
      <c r="H1899" s="66"/>
      <c r="I1899" s="66"/>
    </row>
    <row r="1900" spans="7:9" ht="12.75">
      <c r="G1900" s="66"/>
      <c r="H1900" s="66"/>
      <c r="I1900" s="66"/>
    </row>
    <row r="1901" spans="7:9" ht="12.75">
      <c r="G1901" s="66"/>
      <c r="H1901" s="66"/>
      <c r="I1901" s="66"/>
    </row>
    <row r="1902" spans="7:9" ht="12.75">
      <c r="G1902" s="66"/>
      <c r="H1902" s="66"/>
      <c r="I1902" s="66"/>
    </row>
    <row r="1903" spans="7:9" ht="12.75">
      <c r="G1903" s="66"/>
      <c r="H1903" s="66"/>
      <c r="I1903" s="66"/>
    </row>
    <row r="1904" spans="7:9" ht="12.75">
      <c r="G1904" s="66"/>
      <c r="H1904" s="66"/>
      <c r="I1904" s="66"/>
    </row>
    <row r="1905" spans="7:9" ht="12.75">
      <c r="G1905" s="66"/>
      <c r="H1905" s="66"/>
      <c r="I1905" s="66"/>
    </row>
    <row r="1906" spans="7:9" ht="12.75">
      <c r="G1906" s="66"/>
      <c r="H1906" s="66"/>
      <c r="I1906" s="66"/>
    </row>
    <row r="1907" spans="7:9" ht="12.75">
      <c r="G1907" s="66"/>
      <c r="H1907" s="66"/>
      <c r="I1907" s="66"/>
    </row>
    <row r="1908" spans="7:9" ht="12.75">
      <c r="G1908" s="66"/>
      <c r="H1908" s="66"/>
      <c r="I1908" s="66"/>
    </row>
    <row r="1909" spans="7:9" ht="12.75">
      <c r="G1909" s="66"/>
      <c r="H1909" s="66"/>
      <c r="I1909" s="66"/>
    </row>
    <row r="1910" spans="7:9" ht="12.75">
      <c r="G1910" s="66"/>
      <c r="H1910" s="66"/>
      <c r="I1910" s="66"/>
    </row>
    <row r="1911" spans="7:9" ht="12.75">
      <c r="G1911" s="66"/>
      <c r="H1911" s="66"/>
      <c r="I1911" s="66"/>
    </row>
    <row r="1912" spans="7:9" ht="12.75">
      <c r="G1912" s="66"/>
      <c r="H1912" s="66"/>
      <c r="I1912" s="66"/>
    </row>
    <row r="1913" spans="7:9" ht="12.75">
      <c r="G1913" s="66"/>
      <c r="H1913" s="66"/>
      <c r="I1913" s="66"/>
    </row>
    <row r="1914" spans="7:9" ht="12.75">
      <c r="G1914" s="66"/>
      <c r="H1914" s="66"/>
      <c r="I1914" s="66"/>
    </row>
    <row r="1915" spans="7:9" ht="12.75">
      <c r="G1915" s="66"/>
      <c r="H1915" s="66"/>
      <c r="I1915" s="66"/>
    </row>
    <row r="1916" spans="7:9" ht="12.75">
      <c r="G1916" s="66"/>
      <c r="H1916" s="66"/>
      <c r="I1916" s="66"/>
    </row>
    <row r="1917" spans="7:9" ht="12.75">
      <c r="G1917" s="66"/>
      <c r="H1917" s="66"/>
      <c r="I1917" s="66"/>
    </row>
    <row r="1918" spans="7:9" ht="12.75">
      <c r="G1918" s="66"/>
      <c r="H1918" s="66"/>
      <c r="I1918" s="66"/>
    </row>
    <row r="1919" spans="7:9" ht="12.75">
      <c r="G1919" s="66"/>
      <c r="H1919" s="66"/>
      <c r="I1919" s="66"/>
    </row>
    <row r="1920" spans="7:9" ht="12.75">
      <c r="G1920" s="66"/>
      <c r="H1920" s="66"/>
      <c r="I1920" s="66"/>
    </row>
    <row r="1921" spans="7:9" ht="12.75">
      <c r="G1921" s="66"/>
      <c r="H1921" s="66"/>
      <c r="I1921" s="66"/>
    </row>
    <row r="1922" spans="7:9" ht="12.75">
      <c r="G1922" s="66"/>
      <c r="H1922" s="66"/>
      <c r="I1922" s="66"/>
    </row>
    <row r="1923" spans="7:9" ht="12.75">
      <c r="G1923" s="66"/>
      <c r="H1923" s="66"/>
      <c r="I1923" s="66"/>
    </row>
    <row r="1924" spans="7:9" ht="12.75">
      <c r="G1924" s="66"/>
      <c r="H1924" s="66"/>
      <c r="I1924" s="66"/>
    </row>
    <row r="1925" spans="7:9" ht="12.75">
      <c r="G1925" s="66"/>
      <c r="H1925" s="66"/>
      <c r="I1925" s="66"/>
    </row>
    <row r="1926" spans="7:9" ht="12.75">
      <c r="G1926" s="66"/>
      <c r="H1926" s="66"/>
      <c r="I1926" s="66"/>
    </row>
    <row r="1927" spans="7:9" ht="12.75">
      <c r="G1927" s="66"/>
      <c r="H1927" s="66"/>
      <c r="I1927" s="66"/>
    </row>
    <row r="1928" spans="7:9" ht="12.75">
      <c r="G1928" s="66"/>
      <c r="H1928" s="66"/>
      <c r="I1928" s="66"/>
    </row>
    <row r="1929" spans="7:9" ht="12.75">
      <c r="G1929" s="66"/>
      <c r="H1929" s="66"/>
      <c r="I1929" s="66"/>
    </row>
    <row r="1930" spans="7:9" ht="12.75">
      <c r="G1930" s="66"/>
      <c r="H1930" s="66"/>
      <c r="I1930" s="66"/>
    </row>
    <row r="1931" spans="7:9" ht="12.75">
      <c r="G1931" s="66"/>
      <c r="H1931" s="66"/>
      <c r="I1931" s="66"/>
    </row>
    <row r="1932" spans="7:9" ht="12.75">
      <c r="G1932" s="66"/>
      <c r="H1932" s="66"/>
      <c r="I1932" s="66"/>
    </row>
    <row r="1933" spans="7:9" ht="12.75">
      <c r="G1933" s="66"/>
      <c r="H1933" s="66"/>
      <c r="I1933" s="66"/>
    </row>
    <row r="1934" spans="7:9" ht="12.75">
      <c r="G1934" s="66"/>
      <c r="H1934" s="66"/>
      <c r="I1934" s="66"/>
    </row>
    <row r="1935" spans="7:9" ht="12.75">
      <c r="G1935" s="66"/>
      <c r="H1935" s="66"/>
      <c r="I1935" s="66"/>
    </row>
    <row r="1936" spans="7:9" ht="12.75">
      <c r="G1936" s="66"/>
      <c r="H1936" s="66"/>
      <c r="I1936" s="66"/>
    </row>
    <row r="1937" spans="7:9" ht="12.75">
      <c r="G1937" s="66"/>
      <c r="H1937" s="66"/>
      <c r="I1937" s="66"/>
    </row>
    <row r="1938" spans="7:9" ht="12.75">
      <c r="G1938" s="66"/>
      <c r="H1938" s="66"/>
      <c r="I1938" s="66"/>
    </row>
    <row r="1939" spans="7:9" ht="12.75">
      <c r="G1939" s="66"/>
      <c r="H1939" s="66"/>
      <c r="I1939" s="66"/>
    </row>
    <row r="1940" spans="7:9" ht="12.75">
      <c r="G1940" s="66"/>
      <c r="H1940" s="66"/>
      <c r="I1940" s="66"/>
    </row>
    <row r="1941" spans="7:9" ht="12.75">
      <c r="G1941" s="66"/>
      <c r="H1941" s="66"/>
      <c r="I1941" s="66"/>
    </row>
    <row r="1942" spans="7:9" ht="12.75">
      <c r="G1942" s="66"/>
      <c r="H1942" s="66"/>
      <c r="I1942" s="66"/>
    </row>
    <row r="1943" spans="7:9" ht="12.75">
      <c r="G1943" s="66"/>
      <c r="H1943" s="66"/>
      <c r="I1943" s="66"/>
    </row>
    <row r="1944" spans="7:9" ht="12.75">
      <c r="G1944" s="66"/>
      <c r="H1944" s="66"/>
      <c r="I1944" s="66"/>
    </row>
    <row r="1945" spans="7:9" ht="12.75">
      <c r="G1945" s="66"/>
      <c r="H1945" s="66"/>
      <c r="I1945" s="66"/>
    </row>
    <row r="1946" spans="7:9" ht="12.75">
      <c r="G1946" s="66"/>
      <c r="H1946" s="66"/>
      <c r="I1946" s="66"/>
    </row>
    <row r="1947" spans="7:9" ht="12.75">
      <c r="G1947" s="66"/>
      <c r="H1947" s="66"/>
      <c r="I1947" s="66"/>
    </row>
    <row r="1948" spans="7:9" ht="12.75">
      <c r="G1948" s="66"/>
      <c r="H1948" s="66"/>
      <c r="I1948" s="66"/>
    </row>
    <row r="1949" spans="7:9" ht="12.75">
      <c r="G1949" s="66"/>
      <c r="H1949" s="66"/>
      <c r="I1949" s="66"/>
    </row>
    <row r="1950" spans="7:9" ht="12.75">
      <c r="G1950" s="66"/>
      <c r="H1950" s="66"/>
      <c r="I1950" s="66"/>
    </row>
    <row r="1951" spans="7:9" ht="12.75">
      <c r="G1951" s="66"/>
      <c r="H1951" s="66"/>
      <c r="I1951" s="66"/>
    </row>
    <row r="1952" spans="7:9" ht="12.75">
      <c r="G1952" s="66"/>
      <c r="H1952" s="66"/>
      <c r="I1952" s="66"/>
    </row>
    <row r="1953" spans="7:9" ht="12.75">
      <c r="G1953" s="66"/>
      <c r="H1953" s="66"/>
      <c r="I1953" s="66"/>
    </row>
    <row r="1954" spans="7:9" ht="12.75">
      <c r="G1954" s="66"/>
      <c r="H1954" s="66"/>
      <c r="I1954" s="66"/>
    </row>
    <row r="1955" spans="7:9" ht="12.75">
      <c r="G1955" s="66"/>
      <c r="H1955" s="66"/>
      <c r="I1955" s="66"/>
    </row>
    <row r="1956" spans="7:9" ht="12.75">
      <c r="G1956" s="66"/>
      <c r="H1956" s="66"/>
      <c r="I1956" s="66"/>
    </row>
    <row r="1957" spans="7:9" ht="12.75">
      <c r="G1957" s="66"/>
      <c r="H1957" s="66"/>
      <c r="I1957" s="66"/>
    </row>
    <row r="1958" spans="7:9" ht="12.75">
      <c r="G1958" s="66"/>
      <c r="H1958" s="66"/>
      <c r="I1958" s="66"/>
    </row>
    <row r="1959" spans="7:9" ht="12.75">
      <c r="G1959" s="66"/>
      <c r="H1959" s="66"/>
      <c r="I1959" s="66"/>
    </row>
    <row r="1960" spans="7:9" ht="12.75">
      <c r="G1960" s="66"/>
      <c r="H1960" s="66"/>
      <c r="I1960" s="66"/>
    </row>
    <row r="1961" spans="7:9" ht="12.75">
      <c r="G1961" s="66"/>
      <c r="H1961" s="66"/>
      <c r="I1961" s="66"/>
    </row>
    <row r="1962" spans="7:9" ht="12.75">
      <c r="G1962" s="66"/>
      <c r="H1962" s="66"/>
      <c r="I1962" s="66"/>
    </row>
    <row r="1963" spans="7:9" ht="12.75">
      <c r="G1963" s="66"/>
      <c r="H1963" s="66"/>
      <c r="I1963" s="66"/>
    </row>
    <row r="1964" spans="7:9" ht="12.75">
      <c r="G1964" s="66"/>
      <c r="H1964" s="66"/>
      <c r="I1964" s="66"/>
    </row>
    <row r="1965" spans="7:9" ht="12.75">
      <c r="G1965" s="66"/>
      <c r="H1965" s="66"/>
      <c r="I1965" s="66"/>
    </row>
    <row r="1966" spans="7:9" ht="12.75">
      <c r="G1966" s="66"/>
      <c r="H1966" s="66"/>
      <c r="I1966" s="66"/>
    </row>
    <row r="1967" spans="7:9" ht="12.75">
      <c r="G1967" s="66"/>
      <c r="H1967" s="66"/>
      <c r="I1967" s="66"/>
    </row>
    <row r="1968" spans="7:9" ht="12.75">
      <c r="G1968" s="66"/>
      <c r="H1968" s="66"/>
      <c r="I1968" s="66"/>
    </row>
    <row r="1969" spans="7:9" ht="12.75">
      <c r="G1969" s="66"/>
      <c r="H1969" s="66"/>
      <c r="I1969" s="66"/>
    </row>
    <row r="1970" spans="7:9" ht="12.75">
      <c r="G1970" s="66"/>
      <c r="H1970" s="66"/>
      <c r="I1970" s="66"/>
    </row>
    <row r="1971" spans="7:9" ht="12.75">
      <c r="G1971" s="66"/>
      <c r="H1971" s="66"/>
      <c r="I1971" s="66"/>
    </row>
    <row r="1972" spans="7:9" ht="12.75">
      <c r="G1972" s="66"/>
      <c r="H1972" s="66"/>
      <c r="I1972" s="66"/>
    </row>
    <row r="1973" spans="7:9" ht="12.75">
      <c r="G1973" s="66"/>
      <c r="H1973" s="66"/>
      <c r="I1973" s="66"/>
    </row>
    <row r="1974" spans="7:9" ht="12.75">
      <c r="G1974" s="66"/>
      <c r="H1974" s="66"/>
      <c r="I1974" s="66"/>
    </row>
    <row r="1975" spans="7:9" ht="12.75">
      <c r="G1975" s="66"/>
      <c r="H1975" s="66"/>
      <c r="I1975" s="66"/>
    </row>
    <row r="1976" spans="7:9" ht="12.75">
      <c r="G1976" s="66"/>
      <c r="H1976" s="66"/>
      <c r="I1976" s="66"/>
    </row>
    <row r="1977" spans="7:9" ht="12.75">
      <c r="G1977" s="66"/>
      <c r="H1977" s="66"/>
      <c r="I1977" s="66"/>
    </row>
    <row r="1978" spans="7:9" ht="12.75">
      <c r="G1978" s="66"/>
      <c r="H1978" s="66"/>
      <c r="I1978" s="66"/>
    </row>
    <row r="1979" spans="7:9" ht="12.75">
      <c r="G1979" s="66"/>
      <c r="H1979" s="66"/>
      <c r="I1979" s="66"/>
    </row>
    <row r="1980" spans="7:9" ht="12.75">
      <c r="G1980" s="66"/>
      <c r="H1980" s="66"/>
      <c r="I1980" s="66"/>
    </row>
    <row r="1981" spans="7:9" ht="12.75">
      <c r="G1981" s="66"/>
      <c r="H1981" s="66"/>
      <c r="I1981" s="66"/>
    </row>
    <row r="1982" spans="7:9" ht="12.75">
      <c r="G1982" s="66"/>
      <c r="H1982" s="66"/>
      <c r="I1982" s="66"/>
    </row>
    <row r="1983" spans="7:9" ht="12.75">
      <c r="G1983" s="66"/>
      <c r="H1983" s="66"/>
      <c r="I1983" s="66"/>
    </row>
    <row r="1984" spans="7:9" ht="12.75">
      <c r="G1984" s="66"/>
      <c r="H1984" s="66"/>
      <c r="I1984" s="66"/>
    </row>
    <row r="1985" spans="7:9" ht="12.75">
      <c r="G1985" s="66"/>
      <c r="H1985" s="66"/>
      <c r="I1985" s="66"/>
    </row>
    <row r="1986" spans="7:9" ht="12.75">
      <c r="G1986" s="66"/>
      <c r="H1986" s="66"/>
      <c r="I1986" s="66"/>
    </row>
    <row r="1987" spans="7:9" ht="12.75">
      <c r="G1987" s="66"/>
      <c r="H1987" s="66"/>
      <c r="I1987" s="66"/>
    </row>
    <row r="1988" spans="7:9" ht="12.75">
      <c r="G1988" s="66"/>
      <c r="H1988" s="66"/>
      <c r="I1988" s="66"/>
    </row>
    <row r="1989" spans="7:9" ht="12.75">
      <c r="G1989" s="66"/>
      <c r="H1989" s="66"/>
      <c r="I1989" s="66"/>
    </row>
    <row r="1990" spans="7:9" ht="12.75">
      <c r="G1990" s="66"/>
      <c r="H1990" s="66"/>
      <c r="I1990" s="66"/>
    </row>
    <row r="1991" spans="7:9" ht="12.75">
      <c r="G1991" s="66"/>
      <c r="H1991" s="66"/>
      <c r="I1991" s="66"/>
    </row>
    <row r="1992" spans="7:9" ht="12.75">
      <c r="G1992" s="66"/>
      <c r="H1992" s="66"/>
      <c r="I1992" s="66"/>
    </row>
    <row r="1993" spans="7:9" ht="12.75">
      <c r="G1993" s="66"/>
      <c r="H1993" s="66"/>
      <c r="I1993" s="66"/>
    </row>
    <row r="1994" spans="7:9" ht="12.75">
      <c r="G1994" s="66"/>
      <c r="H1994" s="66"/>
      <c r="I1994" s="66"/>
    </row>
    <row r="1995" spans="7:9" ht="12.75">
      <c r="G1995" s="66"/>
      <c r="H1995" s="66"/>
      <c r="I1995" s="66"/>
    </row>
    <row r="1996" spans="7:9" ht="12.75">
      <c r="G1996" s="66"/>
      <c r="H1996" s="66"/>
      <c r="I1996" s="66"/>
    </row>
    <row r="1997" spans="7:9" ht="12.75">
      <c r="G1997" s="66"/>
      <c r="H1997" s="66"/>
      <c r="I1997" s="66"/>
    </row>
    <row r="1998" spans="7:9" ht="12.75">
      <c r="G1998" s="66"/>
      <c r="H1998" s="66"/>
      <c r="I1998" s="66"/>
    </row>
    <row r="1999" spans="7:9" ht="12.75">
      <c r="G1999" s="66"/>
      <c r="H1999" s="66"/>
      <c r="I1999" s="66"/>
    </row>
    <row r="2000" spans="7:9" ht="12.75">
      <c r="G2000" s="66"/>
      <c r="H2000" s="66"/>
      <c r="I2000" s="66"/>
    </row>
    <row r="2001" spans="7:9" ht="12.75">
      <c r="G2001" s="66"/>
      <c r="H2001" s="66"/>
      <c r="I2001" s="66"/>
    </row>
    <row r="2002" spans="7:9" ht="12.75">
      <c r="G2002" s="66"/>
      <c r="H2002" s="66"/>
      <c r="I2002" s="66"/>
    </row>
    <row r="2003" spans="7:9" ht="12.75">
      <c r="G2003" s="66"/>
      <c r="H2003" s="66"/>
      <c r="I2003" s="66"/>
    </row>
    <row r="2004" spans="7:9" ht="12.75">
      <c r="G2004" s="66"/>
      <c r="H2004" s="66"/>
      <c r="I2004" s="66"/>
    </row>
    <row r="2005" spans="7:9" ht="12.75">
      <c r="G2005" s="66"/>
      <c r="H2005" s="66"/>
      <c r="I2005" s="66"/>
    </row>
    <row r="2006" spans="7:9" ht="12.75">
      <c r="G2006" s="66"/>
      <c r="H2006" s="66"/>
      <c r="I2006" s="66"/>
    </row>
    <row r="2007" spans="7:9" ht="12.75">
      <c r="G2007" s="66"/>
      <c r="H2007" s="66"/>
      <c r="I2007" s="66"/>
    </row>
    <row r="2008" spans="7:9" ht="12.75">
      <c r="G2008" s="66"/>
      <c r="H2008" s="66"/>
      <c r="I2008" s="66"/>
    </row>
    <row r="2009" spans="7:9" ht="12.75">
      <c r="G2009" s="66"/>
      <c r="H2009" s="66"/>
      <c r="I2009" s="66"/>
    </row>
    <row r="2010" spans="7:9" ht="12.75">
      <c r="G2010" s="66"/>
      <c r="H2010" s="66"/>
      <c r="I2010" s="66"/>
    </row>
    <row r="2011" spans="7:9" ht="12.75">
      <c r="G2011" s="66"/>
      <c r="H2011" s="66"/>
      <c r="I2011" s="66"/>
    </row>
    <row r="2012" spans="7:9" ht="12.75">
      <c r="G2012" s="66"/>
      <c r="H2012" s="66"/>
      <c r="I2012" s="66"/>
    </row>
    <row r="2013" spans="7:9" ht="12.75">
      <c r="G2013" s="66"/>
      <c r="H2013" s="66"/>
      <c r="I2013" s="66"/>
    </row>
    <row r="2014" spans="7:9" ht="12.75">
      <c r="G2014" s="66"/>
      <c r="H2014" s="66"/>
      <c r="I2014" s="66"/>
    </row>
    <row r="2015" spans="7:9" ht="12.75">
      <c r="G2015" s="66"/>
      <c r="H2015" s="66"/>
      <c r="I2015" s="66"/>
    </row>
    <row r="2016" spans="7:9" ht="12.75">
      <c r="G2016" s="66"/>
      <c r="H2016" s="66"/>
      <c r="I2016" s="66"/>
    </row>
    <row r="2017" spans="7:9" ht="12.75">
      <c r="G2017" s="66"/>
      <c r="H2017" s="66"/>
      <c r="I2017" s="66"/>
    </row>
    <row r="2018" spans="7:9" ht="12.75">
      <c r="G2018" s="66"/>
      <c r="H2018" s="66"/>
      <c r="I2018" s="66"/>
    </row>
    <row r="2019" spans="7:9" ht="12.75">
      <c r="G2019" s="66"/>
      <c r="H2019" s="66"/>
      <c r="I2019" s="66"/>
    </row>
    <row r="2020" spans="7:9" ht="12.75">
      <c r="G2020" s="66"/>
      <c r="H2020" s="66"/>
      <c r="I2020" s="66"/>
    </row>
    <row r="2021" spans="7:9" ht="12.75">
      <c r="G2021" s="66"/>
      <c r="H2021" s="66"/>
      <c r="I2021" s="66"/>
    </row>
    <row r="2022" spans="7:9" ht="12.75">
      <c r="G2022" s="66"/>
      <c r="H2022" s="66"/>
      <c r="I2022" s="66"/>
    </row>
    <row r="2023" spans="7:9" ht="12.75">
      <c r="G2023" s="66"/>
      <c r="H2023" s="66"/>
      <c r="I2023" s="66"/>
    </row>
    <row r="2024" spans="7:9" ht="12.75">
      <c r="G2024" s="66"/>
      <c r="H2024" s="66"/>
      <c r="I2024" s="66"/>
    </row>
    <row r="2025" spans="7:9" ht="12.75">
      <c r="G2025" s="66"/>
      <c r="H2025" s="66"/>
      <c r="I2025" s="66"/>
    </row>
    <row r="2026" spans="7:9" ht="12.75">
      <c r="G2026" s="66"/>
      <c r="H2026" s="66"/>
      <c r="I2026" s="66"/>
    </row>
    <row r="2027" spans="7:9" ht="12.75">
      <c r="G2027" s="66"/>
      <c r="H2027" s="66"/>
      <c r="I2027" s="66"/>
    </row>
    <row r="2028" spans="7:9" ht="12.75">
      <c r="G2028" s="66"/>
      <c r="H2028" s="66"/>
      <c r="I2028" s="66"/>
    </row>
    <row r="2029" spans="7:9" ht="12.75">
      <c r="G2029" s="66"/>
      <c r="H2029" s="66"/>
      <c r="I2029" s="66"/>
    </row>
    <row r="2030" spans="7:9" ht="12.75">
      <c r="G2030" s="66"/>
      <c r="H2030" s="66"/>
      <c r="I2030" s="66"/>
    </row>
    <row r="2031" spans="7:9" ht="12.75">
      <c r="G2031" s="66"/>
      <c r="H2031" s="66"/>
      <c r="I2031" s="66"/>
    </row>
    <row r="2032" spans="7:9" ht="12.75">
      <c r="G2032" s="66"/>
      <c r="H2032" s="66"/>
      <c r="I2032" s="66"/>
    </row>
    <row r="2033" spans="7:9" ht="12.75">
      <c r="G2033" s="66"/>
      <c r="H2033" s="66"/>
      <c r="I2033" s="66"/>
    </row>
    <row r="2034" spans="7:9" ht="12.75">
      <c r="G2034" s="66"/>
      <c r="H2034" s="66"/>
      <c r="I2034" s="66"/>
    </row>
    <row r="2035" spans="7:9" ht="12.75">
      <c r="G2035" s="66"/>
      <c r="H2035" s="66"/>
      <c r="I2035" s="66"/>
    </row>
    <row r="2036" spans="7:9" ht="12.75">
      <c r="G2036" s="66"/>
      <c r="H2036" s="66"/>
      <c r="I2036" s="66"/>
    </row>
    <row r="2037" spans="7:9" ht="12.75">
      <c r="G2037" s="66"/>
      <c r="H2037" s="66"/>
      <c r="I2037" s="66"/>
    </row>
    <row r="2038" spans="7:9" ht="12.75">
      <c r="G2038" s="66"/>
      <c r="H2038" s="66"/>
      <c r="I2038" s="66"/>
    </row>
    <row r="2039" spans="7:9" ht="12.75">
      <c r="G2039" s="66"/>
      <c r="H2039" s="66"/>
      <c r="I2039" s="66"/>
    </row>
    <row r="2040" spans="7:9" ht="12.75">
      <c r="G2040" s="66"/>
      <c r="H2040" s="66"/>
      <c r="I2040" s="66"/>
    </row>
    <row r="2041" spans="7:9" ht="12.75">
      <c r="G2041" s="66"/>
      <c r="H2041" s="66"/>
      <c r="I2041" s="66"/>
    </row>
    <row r="2042" spans="7:9" ht="12.75">
      <c r="G2042" s="66"/>
      <c r="H2042" s="66"/>
      <c r="I2042" s="66"/>
    </row>
    <row r="2043" spans="7:9" ht="12.75">
      <c r="G2043" s="66"/>
      <c r="H2043" s="66"/>
      <c r="I2043" s="66"/>
    </row>
    <row r="2044" spans="7:9" ht="12.75">
      <c r="G2044" s="66"/>
      <c r="H2044" s="66"/>
      <c r="I2044" s="66"/>
    </row>
    <row r="2045" spans="7:9" ht="12.75">
      <c r="G2045" s="66"/>
      <c r="H2045" s="66"/>
      <c r="I2045" s="66"/>
    </row>
    <row r="2046" spans="7:9" ht="12.75">
      <c r="G2046" s="66"/>
      <c r="H2046" s="66"/>
      <c r="I2046" s="66"/>
    </row>
    <row r="2047" spans="7:9" ht="12.75">
      <c r="G2047" s="66"/>
      <c r="H2047" s="66"/>
      <c r="I2047" s="66"/>
    </row>
    <row r="2048" spans="7:9" ht="12.75">
      <c r="G2048" s="66"/>
      <c r="H2048" s="66"/>
      <c r="I2048" s="66"/>
    </row>
    <row r="2049" spans="7:9" ht="12.75">
      <c r="G2049" s="66"/>
      <c r="H2049" s="66"/>
      <c r="I2049" s="66"/>
    </row>
    <row r="2050" spans="7:9" ht="12.75">
      <c r="G2050" s="66"/>
      <c r="H2050" s="66"/>
      <c r="I2050" s="66"/>
    </row>
    <row r="2051" spans="7:9" ht="12.75">
      <c r="G2051" s="66"/>
      <c r="H2051" s="66"/>
      <c r="I2051" s="66"/>
    </row>
    <row r="2052" spans="7:9" ht="12.75">
      <c r="G2052" s="66"/>
      <c r="H2052" s="66"/>
      <c r="I2052" s="66"/>
    </row>
    <row r="2053" spans="7:9" ht="12.75">
      <c r="G2053" s="66"/>
      <c r="H2053" s="66"/>
      <c r="I2053" s="66"/>
    </row>
    <row r="2054" spans="7:9" ht="12.75">
      <c r="G2054" s="66"/>
      <c r="H2054" s="66"/>
      <c r="I2054" s="66"/>
    </row>
    <row r="2055" spans="7:9" ht="12.75">
      <c r="G2055" s="66"/>
      <c r="H2055" s="66"/>
      <c r="I2055" s="66"/>
    </row>
    <row r="2056" spans="7:9" ht="12.75">
      <c r="G2056" s="66"/>
      <c r="H2056" s="66"/>
      <c r="I2056" s="66"/>
    </row>
    <row r="2057" spans="7:9" ht="12.75">
      <c r="G2057" s="66"/>
      <c r="H2057" s="66"/>
      <c r="I2057" s="66"/>
    </row>
    <row r="2058" spans="7:9" ht="12.75">
      <c r="G2058" s="66"/>
      <c r="H2058" s="66"/>
      <c r="I2058" s="66"/>
    </row>
    <row r="2059" spans="7:9" ht="12.75">
      <c r="G2059" s="66"/>
      <c r="H2059" s="66"/>
      <c r="I2059" s="66"/>
    </row>
    <row r="2060" spans="7:9" ht="12.75">
      <c r="G2060" s="66"/>
      <c r="H2060" s="66"/>
      <c r="I2060" s="66"/>
    </row>
    <row r="2061" spans="7:9" ht="12.75">
      <c r="G2061" s="66"/>
      <c r="H2061" s="66"/>
      <c r="I2061" s="66"/>
    </row>
    <row r="2062" spans="7:9" ht="12.75">
      <c r="G2062" s="66"/>
      <c r="H2062" s="66"/>
      <c r="I2062" s="66"/>
    </row>
    <row r="2063" spans="7:9" ht="12.75">
      <c r="G2063" s="66"/>
      <c r="H2063" s="66"/>
      <c r="I2063" s="66"/>
    </row>
    <row r="2064" spans="7:9" ht="12.75">
      <c r="G2064" s="66"/>
      <c r="H2064" s="66"/>
      <c r="I2064" s="66"/>
    </row>
    <row r="2065" spans="7:9" ht="12.75">
      <c r="G2065" s="66"/>
      <c r="H2065" s="66"/>
      <c r="I2065" s="66"/>
    </row>
    <row r="2066" spans="7:9" ht="12.75">
      <c r="G2066" s="66"/>
      <c r="H2066" s="66"/>
      <c r="I2066" s="66"/>
    </row>
    <row r="2067" spans="7:9" ht="12.75">
      <c r="G2067" s="66"/>
      <c r="H2067" s="66"/>
      <c r="I2067" s="66"/>
    </row>
    <row r="2068" spans="7:9" ht="12.75">
      <c r="G2068" s="66"/>
      <c r="H2068" s="66"/>
      <c r="I2068" s="66"/>
    </row>
    <row r="2069" spans="7:9" ht="12.75">
      <c r="G2069" s="66"/>
      <c r="H2069" s="66"/>
      <c r="I2069" s="66"/>
    </row>
    <row r="2070" spans="7:9" ht="12.75">
      <c r="G2070" s="66"/>
      <c r="H2070" s="66"/>
      <c r="I2070" s="66"/>
    </row>
    <row r="2071" spans="7:9" ht="12.75">
      <c r="G2071" s="66"/>
      <c r="H2071" s="66"/>
      <c r="I2071" s="66"/>
    </row>
    <row r="2072" spans="7:9" ht="12.75">
      <c r="G2072" s="66"/>
      <c r="H2072" s="66"/>
      <c r="I2072" s="66"/>
    </row>
    <row r="2073" spans="7:9" ht="12.75">
      <c r="G2073" s="66"/>
      <c r="H2073" s="66"/>
      <c r="I2073" s="66"/>
    </row>
    <row r="2074" spans="7:9" ht="12.75">
      <c r="G2074" s="66"/>
      <c r="H2074" s="66"/>
      <c r="I2074" s="66"/>
    </row>
    <row r="2075" spans="7:9" ht="12.75">
      <c r="G2075" s="66"/>
      <c r="H2075" s="66"/>
      <c r="I2075" s="66"/>
    </row>
    <row r="2076" spans="7:9" ht="12.75">
      <c r="G2076" s="66"/>
      <c r="H2076" s="66"/>
      <c r="I2076" s="66"/>
    </row>
    <row r="2077" spans="7:9" ht="12.75">
      <c r="G2077" s="66"/>
      <c r="H2077" s="66"/>
      <c r="I2077" s="66"/>
    </row>
    <row r="2078" spans="7:9" ht="12.75">
      <c r="G2078" s="66"/>
      <c r="H2078" s="66"/>
      <c r="I2078" s="66"/>
    </row>
    <row r="2079" spans="7:9" ht="12.75">
      <c r="G2079" s="66"/>
      <c r="H2079" s="66"/>
      <c r="I2079" s="66"/>
    </row>
    <row r="2080" spans="7:9" ht="12.75">
      <c r="G2080" s="66"/>
      <c r="H2080" s="66"/>
      <c r="I2080" s="66"/>
    </row>
    <row r="2081" spans="7:9" ht="12.75">
      <c r="G2081" s="66"/>
      <c r="H2081" s="66"/>
      <c r="I2081" s="66"/>
    </row>
    <row r="2082" spans="7:9" ht="12.75">
      <c r="G2082" s="66"/>
      <c r="H2082" s="66"/>
      <c r="I2082" s="66"/>
    </row>
    <row r="2083" spans="7:9" ht="12.75">
      <c r="G2083" s="66"/>
      <c r="H2083" s="66"/>
      <c r="I2083" s="66"/>
    </row>
    <row r="2084" spans="7:9" ht="12.75">
      <c r="G2084" s="66"/>
      <c r="H2084" s="66"/>
      <c r="I2084" s="66"/>
    </row>
    <row r="2085" spans="7:9" ht="12.75">
      <c r="G2085" s="66"/>
      <c r="H2085" s="66"/>
      <c r="I2085" s="66"/>
    </row>
    <row r="2086" spans="7:9" ht="12.75">
      <c r="G2086" s="66"/>
      <c r="H2086" s="66"/>
      <c r="I2086" s="66"/>
    </row>
    <row r="2087" spans="7:9" ht="12.75">
      <c r="G2087" s="66"/>
      <c r="H2087" s="66"/>
      <c r="I2087" s="66"/>
    </row>
    <row r="2088" spans="7:9" ht="12.75">
      <c r="G2088" s="66"/>
      <c r="H2088" s="66"/>
      <c r="I2088" s="66"/>
    </row>
    <row r="2089" spans="7:9" ht="12.75">
      <c r="G2089" s="66"/>
      <c r="H2089" s="66"/>
      <c r="I2089" s="66"/>
    </row>
    <row r="2090" spans="7:9" ht="12.75">
      <c r="G2090" s="66"/>
      <c r="H2090" s="66"/>
      <c r="I2090" s="66"/>
    </row>
    <row r="2091" spans="7:9" ht="12.75">
      <c r="G2091" s="66"/>
      <c r="H2091" s="66"/>
      <c r="I2091" s="66"/>
    </row>
    <row r="2092" spans="7:9" ht="12.75">
      <c r="G2092" s="66"/>
      <c r="H2092" s="66"/>
      <c r="I2092" s="66"/>
    </row>
    <row r="2093" spans="7:9" ht="12.75">
      <c r="G2093" s="66"/>
      <c r="H2093" s="66"/>
      <c r="I2093" s="66"/>
    </row>
    <row r="2094" spans="7:9" ht="12.75">
      <c r="G2094" s="66"/>
      <c r="H2094" s="66"/>
      <c r="I2094" s="66"/>
    </row>
    <row r="2095" spans="7:9" ht="12.75">
      <c r="G2095" s="66"/>
      <c r="H2095" s="66"/>
      <c r="I2095" s="66"/>
    </row>
    <row r="2096" spans="7:9" ht="12.75">
      <c r="G2096" s="66"/>
      <c r="H2096" s="66"/>
      <c r="I2096" s="66"/>
    </row>
    <row r="2097" spans="7:9" ht="12.75">
      <c r="G2097" s="66"/>
      <c r="H2097" s="66"/>
      <c r="I2097" s="66"/>
    </row>
    <row r="2098" spans="7:9" ht="12.75">
      <c r="G2098" s="66"/>
      <c r="H2098" s="66"/>
      <c r="I2098" s="66"/>
    </row>
    <row r="2099" spans="7:9" ht="12.75">
      <c r="G2099" s="66"/>
      <c r="H2099" s="66"/>
      <c r="I2099" s="66"/>
    </row>
    <row r="2100" spans="7:9" ht="12.75">
      <c r="G2100" s="66"/>
      <c r="H2100" s="66"/>
      <c r="I2100" s="66"/>
    </row>
    <row r="2101" spans="7:9" ht="12.75">
      <c r="G2101" s="66"/>
      <c r="H2101" s="66"/>
      <c r="I2101" s="66"/>
    </row>
    <row r="2102" spans="7:9" ht="12.75">
      <c r="G2102" s="66"/>
      <c r="H2102" s="66"/>
      <c r="I2102" s="66"/>
    </row>
    <row r="2103" spans="7:9" ht="12.75">
      <c r="G2103" s="66"/>
      <c r="H2103" s="66"/>
      <c r="I2103" s="66"/>
    </row>
    <row r="2104" spans="7:9" ht="12.75">
      <c r="G2104" s="66"/>
      <c r="H2104" s="66"/>
      <c r="I2104" s="66"/>
    </row>
    <row r="2105" spans="7:9" ht="12.75">
      <c r="G2105" s="66"/>
      <c r="H2105" s="66"/>
      <c r="I2105" s="66"/>
    </row>
    <row r="2106" spans="7:9" ht="12.75">
      <c r="G2106" s="66"/>
      <c r="H2106" s="66"/>
      <c r="I2106" s="66"/>
    </row>
    <row r="2107" spans="7:9" ht="12.75">
      <c r="G2107" s="66"/>
      <c r="H2107" s="66"/>
      <c r="I2107" s="66"/>
    </row>
    <row r="2108" spans="7:9" ht="12.75">
      <c r="G2108" s="66"/>
      <c r="H2108" s="66"/>
      <c r="I2108" s="66"/>
    </row>
    <row r="2109" spans="7:9" ht="12.75">
      <c r="G2109" s="66"/>
      <c r="H2109" s="66"/>
      <c r="I2109" s="66"/>
    </row>
    <row r="2110" spans="7:9" ht="12.75">
      <c r="G2110" s="66"/>
      <c r="H2110" s="66"/>
      <c r="I2110" s="66"/>
    </row>
    <row r="2111" spans="7:9" ht="12.75">
      <c r="G2111" s="66"/>
      <c r="H2111" s="66"/>
      <c r="I2111" s="66"/>
    </row>
    <row r="2112" spans="7:9" ht="12.75">
      <c r="G2112" s="66"/>
      <c r="H2112" s="66"/>
      <c r="I2112" s="66"/>
    </row>
    <row r="2113" spans="7:9" ht="12.75">
      <c r="G2113" s="66"/>
      <c r="H2113" s="66"/>
      <c r="I2113" s="66"/>
    </row>
    <row r="2114" spans="7:9" ht="12.75">
      <c r="G2114" s="66"/>
      <c r="H2114" s="66"/>
      <c r="I2114" s="66"/>
    </row>
    <row r="2115" spans="7:9" ht="12.75">
      <c r="G2115" s="66"/>
      <c r="H2115" s="66"/>
      <c r="I2115" s="66"/>
    </row>
    <row r="2116" spans="7:9" ht="12.75">
      <c r="G2116" s="66"/>
      <c r="H2116" s="66"/>
      <c r="I2116" s="66"/>
    </row>
    <row r="2117" spans="7:9" ht="12.75">
      <c r="G2117" s="66"/>
      <c r="H2117" s="66"/>
      <c r="I2117" s="66"/>
    </row>
    <row r="2118" spans="7:9" ht="12.75">
      <c r="G2118" s="66"/>
      <c r="H2118" s="66"/>
      <c r="I2118" s="66"/>
    </row>
    <row r="2119" spans="7:9" ht="12.75">
      <c r="G2119" s="66"/>
      <c r="H2119" s="66"/>
      <c r="I2119" s="66"/>
    </row>
    <row r="2120" spans="7:9" ht="12.75">
      <c r="G2120" s="66"/>
      <c r="H2120" s="66"/>
      <c r="I2120" s="66"/>
    </row>
    <row r="2121" spans="7:9" ht="12.75">
      <c r="G2121" s="66"/>
      <c r="H2121" s="66"/>
      <c r="I2121" s="66"/>
    </row>
    <row r="2122" spans="7:9" ht="12.75">
      <c r="G2122" s="66"/>
      <c r="H2122" s="66"/>
      <c r="I2122" s="66"/>
    </row>
    <row r="2123" spans="7:9" ht="12.75">
      <c r="G2123" s="66"/>
      <c r="H2123" s="66"/>
      <c r="I2123" s="66"/>
    </row>
    <row r="2124" spans="7:9" ht="12.75">
      <c r="G2124" s="66"/>
      <c r="H2124" s="66"/>
      <c r="I2124" s="66"/>
    </row>
    <row r="2125" spans="7:9" ht="12.75">
      <c r="G2125" s="66"/>
      <c r="H2125" s="66"/>
      <c r="I2125" s="66"/>
    </row>
    <row r="2126" spans="7:9" ht="12.75">
      <c r="G2126" s="66"/>
      <c r="H2126" s="66"/>
      <c r="I2126" s="66"/>
    </row>
    <row r="2127" spans="7:9" ht="12.75">
      <c r="G2127" s="66"/>
      <c r="H2127" s="66"/>
      <c r="I2127" s="66"/>
    </row>
    <row r="2128" spans="7:9" ht="12.75">
      <c r="G2128" s="66"/>
      <c r="H2128" s="66"/>
      <c r="I2128" s="66"/>
    </row>
    <row r="2129" spans="7:9" ht="12.75">
      <c r="G2129" s="66"/>
      <c r="H2129" s="66"/>
      <c r="I2129" s="66"/>
    </row>
    <row r="2130" spans="7:9" ht="12.75">
      <c r="G2130" s="66"/>
      <c r="H2130" s="66"/>
      <c r="I2130" s="66"/>
    </row>
    <row r="2131" spans="7:9" ht="12.75">
      <c r="G2131" s="66"/>
      <c r="H2131" s="66"/>
      <c r="I2131" s="66"/>
    </row>
    <row r="2132" spans="7:9" ht="12.75">
      <c r="G2132" s="66"/>
      <c r="H2132" s="66"/>
      <c r="I2132" s="66"/>
    </row>
    <row r="2133" spans="7:9" ht="12.75">
      <c r="G2133" s="66"/>
      <c r="H2133" s="66"/>
      <c r="I2133" s="66"/>
    </row>
    <row r="2134" spans="7:9" ht="12.75">
      <c r="G2134" s="66"/>
      <c r="H2134" s="66"/>
      <c r="I2134" s="66"/>
    </row>
    <row r="2135" spans="7:9" ht="12.75">
      <c r="G2135" s="66"/>
      <c r="H2135" s="66"/>
      <c r="I2135" s="66"/>
    </row>
    <row r="2136" spans="7:9" ht="12.75">
      <c r="G2136" s="66"/>
      <c r="H2136" s="66"/>
      <c r="I2136" s="66"/>
    </row>
    <row r="2137" spans="7:9" ht="12.75">
      <c r="G2137" s="66"/>
      <c r="H2137" s="66"/>
      <c r="I2137" s="66"/>
    </row>
    <row r="2138" spans="7:9" ht="12.75">
      <c r="G2138" s="66"/>
      <c r="H2138" s="66"/>
      <c r="I2138" s="66"/>
    </row>
    <row r="2139" spans="7:9" ht="12.75">
      <c r="G2139" s="66"/>
      <c r="H2139" s="66"/>
      <c r="I2139" s="66"/>
    </row>
    <row r="2140" spans="7:9" ht="12.75">
      <c r="G2140" s="66"/>
      <c r="H2140" s="66"/>
      <c r="I2140" s="66"/>
    </row>
    <row r="2141" spans="7:9" ht="12.75">
      <c r="G2141" s="66"/>
      <c r="H2141" s="66"/>
      <c r="I2141" s="66"/>
    </row>
    <row r="2142" spans="7:9" ht="12.75">
      <c r="G2142" s="66"/>
      <c r="H2142" s="66"/>
      <c r="I2142" s="66"/>
    </row>
    <row r="2143" spans="7:9" ht="12.75">
      <c r="G2143" s="66"/>
      <c r="H2143" s="66"/>
      <c r="I2143" s="66"/>
    </row>
    <row r="2144" spans="7:9" ht="12.75">
      <c r="G2144" s="66"/>
      <c r="H2144" s="66"/>
      <c r="I2144" s="66"/>
    </row>
    <row r="2145" spans="7:9" ht="12.75">
      <c r="G2145" s="66"/>
      <c r="H2145" s="66"/>
      <c r="I2145" s="66"/>
    </row>
    <row r="2146" spans="7:9" ht="12.75">
      <c r="G2146" s="66"/>
      <c r="H2146" s="66"/>
      <c r="I2146" s="66"/>
    </row>
    <row r="2147" spans="7:9" ht="12.75">
      <c r="G2147" s="66"/>
      <c r="H2147" s="66"/>
      <c r="I2147" s="66"/>
    </row>
    <row r="2148" spans="7:9" ht="12.75">
      <c r="G2148" s="66"/>
      <c r="H2148" s="66"/>
      <c r="I2148" s="66"/>
    </row>
    <row r="2149" spans="7:9" ht="12.75">
      <c r="G2149" s="66"/>
      <c r="H2149" s="66"/>
      <c r="I2149" s="66"/>
    </row>
    <row r="2150" spans="7:9" ht="12.75">
      <c r="G2150" s="66"/>
      <c r="H2150" s="66"/>
      <c r="I2150" s="66"/>
    </row>
    <row r="2151" spans="7:9" ht="12.75">
      <c r="G2151" s="66"/>
      <c r="H2151" s="66"/>
      <c r="I2151" s="66"/>
    </row>
    <row r="2152" spans="7:9" ht="12.75">
      <c r="G2152" s="66"/>
      <c r="H2152" s="66"/>
      <c r="I2152" s="66"/>
    </row>
    <row r="2153" spans="7:9" ht="12.75">
      <c r="G2153" s="66"/>
      <c r="H2153" s="66"/>
      <c r="I2153" s="66"/>
    </row>
    <row r="2154" spans="7:9" ht="12.75">
      <c r="G2154" s="66"/>
      <c r="H2154" s="66"/>
      <c r="I2154" s="66"/>
    </row>
    <row r="2155" spans="7:9" ht="12.75">
      <c r="G2155" s="66"/>
      <c r="H2155" s="66"/>
      <c r="I2155" s="66"/>
    </row>
    <row r="2156" spans="7:9" ht="12.75">
      <c r="G2156" s="66"/>
      <c r="H2156" s="66"/>
      <c r="I2156" s="66"/>
    </row>
    <row r="2157" spans="7:9" ht="12.75">
      <c r="G2157" s="66"/>
      <c r="H2157" s="66"/>
      <c r="I2157" s="66"/>
    </row>
    <row r="2158" spans="7:9" ht="12.75">
      <c r="G2158" s="66"/>
      <c r="H2158" s="66"/>
      <c r="I2158" s="66"/>
    </row>
    <row r="2159" spans="7:9" ht="12.75">
      <c r="G2159" s="66"/>
      <c r="H2159" s="66"/>
      <c r="I2159" s="66"/>
    </row>
    <row r="2160" spans="7:9" ht="12.75">
      <c r="G2160" s="66"/>
      <c r="H2160" s="66"/>
      <c r="I2160" s="66"/>
    </row>
    <row r="2161" spans="7:9" ht="12.75">
      <c r="G2161" s="66"/>
      <c r="H2161" s="66"/>
      <c r="I2161" s="66"/>
    </row>
    <row r="2162" spans="7:9" ht="12.75">
      <c r="G2162" s="66"/>
      <c r="H2162" s="66"/>
      <c r="I2162" s="66"/>
    </row>
    <row r="2163" spans="7:9" ht="12.75">
      <c r="G2163" s="66"/>
      <c r="H2163" s="66"/>
      <c r="I2163" s="66"/>
    </row>
    <row r="2164" spans="7:9" ht="12.75">
      <c r="G2164" s="66"/>
      <c r="H2164" s="66"/>
      <c r="I2164" s="66"/>
    </row>
    <row r="2165" spans="7:9" ht="12.75">
      <c r="G2165" s="66"/>
      <c r="H2165" s="66"/>
      <c r="I2165" s="66"/>
    </row>
    <row r="2166" spans="7:9" ht="12.75">
      <c r="G2166" s="66"/>
      <c r="H2166" s="66"/>
      <c r="I2166" s="66"/>
    </row>
    <row r="2167" spans="7:9" ht="12.75">
      <c r="G2167" s="66"/>
      <c r="H2167" s="66"/>
      <c r="I2167" s="66"/>
    </row>
    <row r="2168" spans="7:9" ht="12.75">
      <c r="G2168" s="66"/>
      <c r="H2168" s="66"/>
      <c r="I2168" s="66"/>
    </row>
    <row r="2169" spans="7:9" ht="12.75">
      <c r="G2169" s="66"/>
      <c r="H2169" s="66"/>
      <c r="I2169" s="66"/>
    </row>
    <row r="2170" spans="7:9" ht="12.75">
      <c r="G2170" s="66"/>
      <c r="H2170" s="66"/>
      <c r="I2170" s="66"/>
    </row>
    <row r="2171" spans="7:9" ht="12.75">
      <c r="G2171" s="66"/>
      <c r="H2171" s="66"/>
      <c r="I2171" s="66"/>
    </row>
    <row r="2172" spans="7:9" ht="12.75">
      <c r="G2172" s="66"/>
      <c r="H2172" s="66"/>
      <c r="I2172" s="66"/>
    </row>
    <row r="2173" spans="7:9" ht="12.75">
      <c r="G2173" s="66"/>
      <c r="H2173" s="66"/>
      <c r="I2173" s="66"/>
    </row>
    <row r="2174" spans="7:9" ht="12.75">
      <c r="G2174" s="66"/>
      <c r="H2174" s="66"/>
      <c r="I2174" s="66"/>
    </row>
    <row r="2175" spans="7:9" ht="12.75">
      <c r="G2175" s="66"/>
      <c r="H2175" s="66"/>
      <c r="I2175" s="66"/>
    </row>
    <row r="2176" spans="7:9" ht="12.75">
      <c r="G2176" s="66"/>
      <c r="H2176" s="66"/>
      <c r="I2176" s="66"/>
    </row>
    <row r="2177" spans="7:9" ht="12.75">
      <c r="G2177" s="66"/>
      <c r="H2177" s="66"/>
      <c r="I2177" s="66"/>
    </row>
    <row r="2178" spans="7:9" ht="12.75">
      <c r="G2178" s="66"/>
      <c r="H2178" s="66"/>
      <c r="I2178" s="66"/>
    </row>
    <row r="2179" spans="7:9" ht="12.75">
      <c r="G2179" s="66"/>
      <c r="H2179" s="66"/>
      <c r="I2179" s="66"/>
    </row>
    <row r="2180" spans="7:9" ht="12.75">
      <c r="G2180" s="66"/>
      <c r="H2180" s="66"/>
      <c r="I2180" s="66"/>
    </row>
    <row r="2181" spans="7:9" ht="12.75">
      <c r="G2181" s="66"/>
      <c r="H2181" s="66"/>
      <c r="I2181" s="66"/>
    </row>
    <row r="2182" spans="7:9" ht="12.75">
      <c r="G2182" s="66"/>
      <c r="H2182" s="66"/>
      <c r="I2182" s="66"/>
    </row>
    <row r="2183" spans="7:9" ht="12.75">
      <c r="G2183" s="66"/>
      <c r="H2183" s="66"/>
      <c r="I2183" s="66"/>
    </row>
    <row r="2184" spans="7:9" ht="12.75">
      <c r="G2184" s="66"/>
      <c r="H2184" s="66"/>
      <c r="I2184" s="66"/>
    </row>
    <row r="2185" spans="7:9" ht="12.75">
      <c r="G2185" s="66"/>
      <c r="H2185" s="66"/>
      <c r="I2185" s="66"/>
    </row>
    <row r="2186" spans="7:9" ht="12.75">
      <c r="G2186" s="66"/>
      <c r="H2186" s="66"/>
      <c r="I2186" s="66"/>
    </row>
    <row r="2187" spans="7:9" ht="12.75">
      <c r="G2187" s="66"/>
      <c r="H2187" s="66"/>
      <c r="I2187" s="66"/>
    </row>
    <row r="2188" spans="7:9" ht="12.75">
      <c r="G2188" s="66"/>
      <c r="H2188" s="66"/>
      <c r="I2188" s="66"/>
    </row>
    <row r="2189" spans="7:9" ht="12.75">
      <c r="G2189" s="66"/>
      <c r="H2189" s="66"/>
      <c r="I2189" s="66"/>
    </row>
    <row r="2190" spans="7:9" ht="12.75">
      <c r="G2190" s="66"/>
      <c r="H2190" s="66"/>
      <c r="I2190" s="66"/>
    </row>
    <row r="2191" spans="7:9" ht="12.75">
      <c r="G2191" s="66"/>
      <c r="H2191" s="66"/>
      <c r="I2191" s="66"/>
    </row>
    <row r="2192" spans="7:9" ht="12.75">
      <c r="G2192" s="66"/>
      <c r="H2192" s="66"/>
      <c r="I2192" s="66"/>
    </row>
    <row r="2193" spans="7:9" ht="12.75">
      <c r="G2193" s="66"/>
      <c r="H2193" s="66"/>
      <c r="I2193" s="66"/>
    </row>
    <row r="2194" spans="7:9" ht="12.75">
      <c r="G2194" s="66"/>
      <c r="H2194" s="66"/>
      <c r="I2194" s="66"/>
    </row>
    <row r="2195" spans="7:9" ht="12.75">
      <c r="G2195" s="66"/>
      <c r="H2195" s="66"/>
      <c r="I2195" s="66"/>
    </row>
    <row r="2196" spans="7:9" ht="12.75">
      <c r="G2196" s="66"/>
      <c r="H2196" s="66"/>
      <c r="I2196" s="66"/>
    </row>
    <row r="2197" spans="7:9" ht="12.75">
      <c r="G2197" s="66"/>
      <c r="H2197" s="66"/>
      <c r="I2197" s="66"/>
    </row>
    <row r="2198" spans="7:9" ht="12.75">
      <c r="G2198" s="66"/>
      <c r="H2198" s="66"/>
      <c r="I2198" s="66"/>
    </row>
    <row r="2199" spans="7:9" ht="12.75">
      <c r="G2199" s="66"/>
      <c r="H2199" s="66"/>
      <c r="I2199" s="66"/>
    </row>
    <row r="2200" spans="7:9" ht="12.75">
      <c r="G2200" s="66"/>
      <c r="H2200" s="66"/>
      <c r="I2200" s="66"/>
    </row>
    <row r="2201" spans="7:9" ht="12.75">
      <c r="G2201" s="66"/>
      <c r="H2201" s="66"/>
      <c r="I2201" s="66"/>
    </row>
    <row r="2202" spans="7:9" ht="12.75">
      <c r="G2202" s="66"/>
      <c r="H2202" s="66"/>
      <c r="I2202" s="66"/>
    </row>
    <row r="2203" spans="7:9" ht="12.75">
      <c r="G2203" s="66"/>
      <c r="H2203" s="66"/>
      <c r="I2203" s="66"/>
    </row>
    <row r="2204" spans="7:9" ht="12.75">
      <c r="G2204" s="66"/>
      <c r="H2204" s="66"/>
      <c r="I2204" s="66"/>
    </row>
    <row r="2205" spans="7:9" ht="12.75">
      <c r="G2205" s="66"/>
      <c r="H2205" s="66"/>
      <c r="I2205" s="66"/>
    </row>
    <row r="2206" spans="7:9" ht="12.75">
      <c r="G2206" s="66"/>
      <c r="H2206" s="66"/>
      <c r="I2206" s="66"/>
    </row>
    <row r="2207" spans="7:9" ht="12.75">
      <c r="G2207" s="66"/>
      <c r="H2207" s="66"/>
      <c r="I2207" s="66"/>
    </row>
    <row r="2208" spans="7:9" ht="12.75">
      <c r="G2208" s="66"/>
      <c r="H2208" s="66"/>
      <c r="I2208" s="66"/>
    </row>
    <row r="2209" spans="7:9" ht="12.75">
      <c r="G2209" s="66"/>
      <c r="H2209" s="66"/>
      <c r="I2209" s="66"/>
    </row>
    <row r="2210" spans="7:9" ht="12.75">
      <c r="G2210" s="66"/>
      <c r="H2210" s="66"/>
      <c r="I2210" s="66"/>
    </row>
    <row r="2211" spans="7:9" ht="12.75">
      <c r="G2211" s="66"/>
      <c r="H2211" s="66"/>
      <c r="I2211" s="66"/>
    </row>
    <row r="2212" spans="7:9" ht="12.75">
      <c r="G2212" s="66"/>
      <c r="H2212" s="66"/>
      <c r="I2212" s="66"/>
    </row>
    <row r="2213" spans="7:9" ht="12.75">
      <c r="G2213" s="66"/>
      <c r="H2213" s="66"/>
      <c r="I2213" s="66"/>
    </row>
    <row r="2214" spans="7:9" ht="12.75">
      <c r="G2214" s="66"/>
      <c r="H2214" s="66"/>
      <c r="I2214" s="66"/>
    </row>
    <row r="2215" spans="7:9" ht="12.75">
      <c r="G2215" s="66"/>
      <c r="H2215" s="66"/>
      <c r="I2215" s="66"/>
    </row>
    <row r="2216" spans="7:9" ht="12.75">
      <c r="G2216" s="66"/>
      <c r="H2216" s="66"/>
      <c r="I2216" s="66"/>
    </row>
    <row r="2217" spans="7:9" ht="12.75">
      <c r="G2217" s="66"/>
      <c r="H2217" s="66"/>
      <c r="I2217" s="66"/>
    </row>
    <row r="2218" spans="7:9" ht="12.75">
      <c r="G2218" s="66"/>
      <c r="H2218" s="66"/>
      <c r="I2218" s="66"/>
    </row>
    <row r="2219" spans="7:9" ht="12.75">
      <c r="G2219" s="66"/>
      <c r="H2219" s="66"/>
      <c r="I2219" s="66"/>
    </row>
    <row r="2220" spans="7:9" ht="12.75">
      <c r="G2220" s="66"/>
      <c r="H2220" s="66"/>
      <c r="I2220" s="66"/>
    </row>
    <row r="2221" spans="7:9" ht="12.75">
      <c r="G2221" s="66"/>
      <c r="H2221" s="66"/>
      <c r="I2221" s="66"/>
    </row>
    <row r="2222" spans="7:9" ht="12.75">
      <c r="G2222" s="66"/>
      <c r="H2222" s="66"/>
      <c r="I2222" s="66"/>
    </row>
    <row r="2223" spans="7:9" ht="12.75">
      <c r="G2223" s="66"/>
      <c r="H2223" s="66"/>
      <c r="I2223" s="66"/>
    </row>
    <row r="2224" spans="7:9" ht="12.75">
      <c r="G2224" s="66"/>
      <c r="H2224" s="66"/>
      <c r="I2224" s="66"/>
    </row>
    <row r="2225" spans="7:9" ht="12.75">
      <c r="G2225" s="66"/>
      <c r="H2225" s="66"/>
      <c r="I2225" s="66"/>
    </row>
    <row r="2226" spans="7:9" ht="12.75">
      <c r="G2226" s="66"/>
      <c r="H2226" s="66"/>
      <c r="I2226" s="66"/>
    </row>
    <row r="2227" spans="7:9" ht="12.75">
      <c r="G2227" s="66"/>
      <c r="H2227" s="66"/>
      <c r="I2227" s="66"/>
    </row>
    <row r="2228" spans="7:9" ht="12.75">
      <c r="G2228" s="66"/>
      <c r="H2228" s="66"/>
      <c r="I2228" s="66"/>
    </row>
    <row r="2229" spans="7:9" ht="12.75">
      <c r="G2229" s="66"/>
      <c r="H2229" s="66"/>
      <c r="I2229" s="66"/>
    </row>
    <row r="2230" spans="7:9" ht="12.75">
      <c r="G2230" s="66"/>
      <c r="H2230" s="66"/>
      <c r="I2230" s="66"/>
    </row>
    <row r="2231" spans="7:9" ht="12.75">
      <c r="G2231" s="66"/>
      <c r="H2231" s="66"/>
      <c r="I2231" s="66"/>
    </row>
    <row r="2232" spans="7:9" ht="12.75">
      <c r="G2232" s="66"/>
      <c r="H2232" s="66"/>
      <c r="I2232" s="66"/>
    </row>
    <row r="2233" spans="7:9" ht="12.75">
      <c r="G2233" s="66"/>
      <c r="H2233" s="66"/>
      <c r="I2233" s="66"/>
    </row>
    <row r="2234" spans="7:9" ht="12.75">
      <c r="G2234" s="66"/>
      <c r="H2234" s="66"/>
      <c r="I2234" s="66"/>
    </row>
    <row r="2235" spans="7:9" ht="12.75">
      <c r="G2235" s="66"/>
      <c r="H2235" s="66"/>
      <c r="I2235" s="66"/>
    </row>
    <row r="2236" spans="7:9" ht="12.75">
      <c r="G2236" s="66"/>
      <c r="H2236" s="66"/>
      <c r="I2236" s="66"/>
    </row>
    <row r="2237" spans="7:9" ht="12.75">
      <c r="G2237" s="66"/>
      <c r="H2237" s="66"/>
      <c r="I2237" s="66"/>
    </row>
    <row r="2238" spans="7:9" ht="12.75">
      <c r="G2238" s="66"/>
      <c r="H2238" s="66"/>
      <c r="I2238" s="66"/>
    </row>
    <row r="2239" spans="7:9" ht="12.75">
      <c r="G2239" s="66"/>
      <c r="H2239" s="66"/>
      <c r="I2239" s="66"/>
    </row>
    <row r="2240" spans="7:9" ht="12.75">
      <c r="G2240" s="66"/>
      <c r="H2240" s="66"/>
      <c r="I2240" s="66"/>
    </row>
    <row r="2241" spans="7:9" ht="12.75">
      <c r="G2241" s="66"/>
      <c r="H2241" s="66"/>
      <c r="I2241" s="66"/>
    </row>
    <row r="2242" spans="7:9" ht="12.75">
      <c r="G2242" s="66"/>
      <c r="H2242" s="66"/>
      <c r="I2242" s="66"/>
    </row>
    <row r="2243" spans="7:9" ht="12.75">
      <c r="G2243" s="66"/>
      <c r="H2243" s="66"/>
      <c r="I2243" s="66"/>
    </row>
    <row r="2244" spans="7:9" ht="12.75">
      <c r="G2244" s="66"/>
      <c r="H2244" s="66"/>
      <c r="I2244" s="66"/>
    </row>
    <row r="2245" spans="7:9" ht="12.75">
      <c r="G2245" s="66"/>
      <c r="H2245" s="66"/>
      <c r="I2245" s="66"/>
    </row>
    <row r="2246" spans="7:9" ht="12.75">
      <c r="G2246" s="66"/>
      <c r="H2246" s="66"/>
      <c r="I2246" s="66"/>
    </row>
    <row r="2247" spans="7:9" ht="12.75">
      <c r="G2247" s="66"/>
      <c r="H2247" s="66"/>
      <c r="I2247" s="66"/>
    </row>
    <row r="2248" spans="7:9" ht="12.75">
      <c r="G2248" s="66"/>
      <c r="H2248" s="66"/>
      <c r="I2248" s="66"/>
    </row>
    <row r="2249" spans="7:9" ht="12.75">
      <c r="G2249" s="66"/>
      <c r="H2249" s="66"/>
      <c r="I2249" s="66"/>
    </row>
    <row r="2250" spans="7:9" ht="12.75">
      <c r="G2250" s="66"/>
      <c r="H2250" s="66"/>
      <c r="I2250" s="66"/>
    </row>
    <row r="2251" spans="7:9" ht="12.75">
      <c r="G2251" s="66"/>
      <c r="H2251" s="66"/>
      <c r="I2251" s="66"/>
    </row>
    <row r="2252" spans="7:9" ht="12.75">
      <c r="G2252" s="66"/>
      <c r="H2252" s="66"/>
      <c r="I2252" s="66"/>
    </row>
    <row r="2253" spans="7:9" ht="12.75">
      <c r="G2253" s="66"/>
      <c r="H2253" s="66"/>
      <c r="I2253" s="66"/>
    </row>
    <row r="2254" spans="7:9" ht="12.75">
      <c r="G2254" s="66"/>
      <c r="H2254" s="66"/>
      <c r="I2254" s="66"/>
    </row>
    <row r="2255" spans="7:9" ht="12.75">
      <c r="G2255" s="66"/>
      <c r="H2255" s="66"/>
      <c r="I2255" s="66"/>
    </row>
    <row r="2256" spans="7:9" ht="12.75">
      <c r="G2256" s="66"/>
      <c r="H2256" s="66"/>
      <c r="I2256" s="66"/>
    </row>
    <row r="2257" spans="7:9" ht="12.75">
      <c r="G2257" s="66"/>
      <c r="H2257" s="66"/>
      <c r="I2257" s="66"/>
    </row>
    <row r="2258" spans="7:9" ht="12.75">
      <c r="G2258" s="66"/>
      <c r="H2258" s="66"/>
      <c r="I2258" s="66"/>
    </row>
    <row r="2259" spans="7:9" ht="12.75">
      <c r="G2259" s="66"/>
      <c r="H2259" s="66"/>
      <c r="I2259" s="66"/>
    </row>
    <row r="2260" spans="7:9" ht="12.75">
      <c r="G2260" s="66"/>
      <c r="H2260" s="66"/>
      <c r="I2260" s="66"/>
    </row>
    <row r="2261" spans="7:9" ht="12.75">
      <c r="G2261" s="66"/>
      <c r="H2261" s="66"/>
      <c r="I2261" s="66"/>
    </row>
    <row r="2262" spans="7:9" ht="12.75">
      <c r="G2262" s="66"/>
      <c r="H2262" s="66"/>
      <c r="I2262" s="66"/>
    </row>
    <row r="2263" spans="7:9" ht="12.75">
      <c r="G2263" s="66"/>
      <c r="H2263" s="66"/>
      <c r="I2263" s="66"/>
    </row>
    <row r="2264" spans="7:9" ht="12.75">
      <c r="G2264" s="66"/>
      <c r="H2264" s="66"/>
      <c r="I2264" s="66"/>
    </row>
    <row r="2265" spans="7:9" ht="12.75">
      <c r="G2265" s="66"/>
      <c r="H2265" s="66"/>
      <c r="I2265" s="66"/>
    </row>
    <row r="2266" spans="7:9" ht="12.75">
      <c r="G2266" s="66"/>
      <c r="H2266" s="66"/>
      <c r="I2266" s="66"/>
    </row>
    <row r="2267" spans="7:9" ht="12.75">
      <c r="G2267" s="66"/>
      <c r="H2267" s="66"/>
      <c r="I2267" s="66"/>
    </row>
    <row r="2268" spans="7:9" ht="12.75">
      <c r="G2268" s="66"/>
      <c r="H2268" s="66"/>
      <c r="I2268" s="66"/>
    </row>
    <row r="2269" spans="7:9" ht="12.75">
      <c r="G2269" s="66"/>
      <c r="H2269" s="66"/>
      <c r="I2269" s="66"/>
    </row>
    <row r="2270" spans="7:9" ht="12.75">
      <c r="G2270" s="66"/>
      <c r="H2270" s="66"/>
      <c r="I2270" s="66"/>
    </row>
    <row r="2271" spans="7:9" ht="12.75">
      <c r="G2271" s="66"/>
      <c r="H2271" s="66"/>
      <c r="I2271" s="66"/>
    </row>
    <row r="2272" spans="7:9" ht="12.75">
      <c r="G2272" s="66"/>
      <c r="H2272" s="66"/>
      <c r="I2272" s="66"/>
    </row>
    <row r="2273" spans="7:9" ht="12.75">
      <c r="G2273" s="66"/>
      <c r="H2273" s="66"/>
      <c r="I2273" s="66"/>
    </row>
    <row r="2274" spans="7:9" ht="12.75">
      <c r="G2274" s="66"/>
      <c r="H2274" s="66"/>
      <c r="I2274" s="66"/>
    </row>
    <row r="2275" spans="7:9" ht="12.75">
      <c r="G2275" s="66"/>
      <c r="H2275" s="66"/>
      <c r="I2275" s="66"/>
    </row>
    <row r="2276" spans="7:9" ht="12.75">
      <c r="G2276" s="66"/>
      <c r="H2276" s="66"/>
      <c r="I2276" s="66"/>
    </row>
    <row r="2277" spans="7:9" ht="12.75">
      <c r="G2277" s="66"/>
      <c r="H2277" s="66"/>
      <c r="I2277" s="66"/>
    </row>
    <row r="2278" spans="7:9" ht="12.75">
      <c r="G2278" s="66"/>
      <c r="H2278" s="66"/>
      <c r="I2278" s="66"/>
    </row>
    <row r="2279" spans="7:9" ht="12.75">
      <c r="G2279" s="66"/>
      <c r="H2279" s="66"/>
      <c r="I2279" s="66"/>
    </row>
    <row r="2280" spans="7:9" ht="12.75">
      <c r="G2280" s="66"/>
      <c r="H2280" s="66"/>
      <c r="I2280" s="66"/>
    </row>
    <row r="2281" spans="7:9" ht="12.75">
      <c r="G2281" s="66"/>
      <c r="H2281" s="66"/>
      <c r="I2281" s="66"/>
    </row>
    <row r="2282" spans="7:9" ht="12.75">
      <c r="G2282" s="66"/>
      <c r="H2282" s="66"/>
      <c r="I2282" s="66"/>
    </row>
    <row r="2283" spans="7:9" ht="12.75">
      <c r="G2283" s="66"/>
      <c r="H2283" s="66"/>
      <c r="I2283" s="66"/>
    </row>
    <row r="2284" spans="7:9" ht="12.75">
      <c r="G2284" s="66"/>
      <c r="H2284" s="66"/>
      <c r="I2284" s="66"/>
    </row>
    <row r="2285" spans="7:9" ht="12.75">
      <c r="G2285" s="66"/>
      <c r="H2285" s="66"/>
      <c r="I2285" s="66"/>
    </row>
    <row r="2286" spans="7:9" ht="12.75">
      <c r="G2286" s="66"/>
      <c r="H2286" s="66"/>
      <c r="I2286" s="66"/>
    </row>
    <row r="2287" spans="7:9" ht="12.75">
      <c r="G2287" s="66"/>
      <c r="H2287" s="66"/>
      <c r="I2287" s="66"/>
    </row>
    <row r="2288" spans="7:9" ht="12.75">
      <c r="G2288" s="66"/>
      <c r="H2288" s="66"/>
      <c r="I2288" s="66"/>
    </row>
    <row r="2289" spans="7:9" ht="12.75">
      <c r="G2289" s="66"/>
      <c r="H2289" s="66"/>
      <c r="I2289" s="66"/>
    </row>
    <row r="2290" spans="7:9" ht="12.75">
      <c r="G2290" s="66"/>
      <c r="H2290" s="66"/>
      <c r="I2290" s="66"/>
    </row>
    <row r="2291" spans="7:9" ht="12.75">
      <c r="G2291" s="66"/>
      <c r="H2291" s="66"/>
      <c r="I2291" s="66"/>
    </row>
    <row r="2292" spans="7:9" ht="12.75">
      <c r="G2292" s="66"/>
      <c r="H2292" s="66"/>
      <c r="I2292" s="66"/>
    </row>
    <row r="2293" spans="7:9" ht="12.75">
      <c r="G2293" s="66"/>
      <c r="H2293" s="66"/>
      <c r="I2293" s="66"/>
    </row>
    <row r="2294" spans="7:9" ht="12.75">
      <c r="G2294" s="66"/>
      <c r="H2294" s="66"/>
      <c r="I2294" s="66"/>
    </row>
    <row r="2295" spans="7:9" ht="12.75">
      <c r="G2295" s="66"/>
      <c r="H2295" s="66"/>
      <c r="I2295" s="66"/>
    </row>
    <row r="2296" spans="7:9" ht="12.75">
      <c r="G2296" s="66"/>
      <c r="H2296" s="66"/>
      <c r="I2296" s="66"/>
    </row>
    <row r="2297" spans="7:9" ht="12.75">
      <c r="G2297" s="66"/>
      <c r="H2297" s="66"/>
      <c r="I2297" s="66"/>
    </row>
    <row r="2298" spans="7:9" ht="12.75">
      <c r="G2298" s="66"/>
      <c r="H2298" s="66"/>
      <c r="I2298" s="66"/>
    </row>
    <row r="2299" spans="7:9" ht="12.75">
      <c r="G2299" s="66"/>
      <c r="H2299" s="66"/>
      <c r="I2299" s="66"/>
    </row>
    <row r="2300" spans="7:9" ht="12.75">
      <c r="G2300" s="66"/>
      <c r="H2300" s="66"/>
      <c r="I2300" s="66"/>
    </row>
    <row r="2301" spans="7:9" ht="12.75">
      <c r="G2301" s="66"/>
      <c r="H2301" s="66"/>
      <c r="I2301" s="66"/>
    </row>
    <row r="2302" spans="7:9" ht="12.75">
      <c r="G2302" s="66"/>
      <c r="H2302" s="66"/>
      <c r="I2302" s="66"/>
    </row>
    <row r="2303" spans="7:9" ht="12.75">
      <c r="G2303" s="66"/>
      <c r="H2303" s="66"/>
      <c r="I2303" s="66"/>
    </row>
    <row r="2304" spans="7:9" ht="12.75">
      <c r="G2304" s="66"/>
      <c r="H2304" s="66"/>
      <c r="I2304" s="66"/>
    </row>
    <row r="2305" spans="7:9" ht="12.75">
      <c r="G2305" s="66"/>
      <c r="H2305" s="66"/>
      <c r="I2305" s="66"/>
    </row>
    <row r="2306" spans="7:9" ht="12.75">
      <c r="G2306" s="66"/>
      <c r="H2306" s="66"/>
      <c r="I2306" s="66"/>
    </row>
    <row r="2307" spans="7:9" ht="12.75">
      <c r="G2307" s="66"/>
      <c r="H2307" s="66"/>
      <c r="I2307" s="66"/>
    </row>
    <row r="2308" spans="7:9" ht="12.75">
      <c r="G2308" s="66"/>
      <c r="H2308" s="66"/>
      <c r="I2308" s="66"/>
    </row>
    <row r="2309" spans="7:9" ht="12.75">
      <c r="G2309" s="66"/>
      <c r="H2309" s="66"/>
      <c r="I2309" s="66"/>
    </row>
    <row r="2310" spans="7:9" ht="12.75">
      <c r="G2310" s="66"/>
      <c r="H2310" s="66"/>
      <c r="I2310" s="66"/>
    </row>
    <row r="2311" spans="7:9" ht="12.75">
      <c r="G2311" s="66"/>
      <c r="H2311" s="66"/>
      <c r="I2311" s="66"/>
    </row>
    <row r="2312" spans="7:9" ht="12.75">
      <c r="G2312" s="66"/>
      <c r="H2312" s="66"/>
      <c r="I2312" s="66"/>
    </row>
    <row r="2313" spans="7:9" ht="12.75">
      <c r="G2313" s="66"/>
      <c r="H2313" s="66"/>
      <c r="I2313" s="66"/>
    </row>
    <row r="2314" spans="7:9" ht="12.75">
      <c r="G2314" s="66"/>
      <c r="H2314" s="66"/>
      <c r="I2314" s="66"/>
    </row>
    <row r="2315" spans="7:9" ht="12.75">
      <c r="G2315" s="66"/>
      <c r="H2315" s="66"/>
      <c r="I2315" s="66"/>
    </row>
    <row r="2316" spans="7:9" ht="12.75">
      <c r="G2316" s="66"/>
      <c r="H2316" s="66"/>
      <c r="I2316" s="66"/>
    </row>
    <row r="2317" spans="7:9" ht="12.75">
      <c r="G2317" s="66"/>
      <c r="H2317" s="66"/>
      <c r="I2317" s="66"/>
    </row>
    <row r="2318" spans="7:9" ht="12.75">
      <c r="G2318" s="66"/>
      <c r="H2318" s="66"/>
      <c r="I2318" s="66"/>
    </row>
    <row r="2319" spans="7:9" ht="12.75">
      <c r="G2319" s="66"/>
      <c r="H2319" s="66"/>
      <c r="I2319" s="66"/>
    </row>
    <row r="2320" spans="7:9" ht="12.75">
      <c r="G2320" s="66"/>
      <c r="H2320" s="66"/>
      <c r="I2320" s="66"/>
    </row>
    <row r="2321" spans="7:9" ht="12.75">
      <c r="G2321" s="66"/>
      <c r="H2321" s="66"/>
      <c r="I2321" s="66"/>
    </row>
    <row r="2322" spans="7:9" ht="12.75">
      <c r="G2322" s="66"/>
      <c r="H2322" s="66"/>
      <c r="I2322" s="66"/>
    </row>
    <row r="2323" spans="7:9" ht="12.75">
      <c r="G2323" s="66"/>
      <c r="H2323" s="66"/>
      <c r="I2323" s="66"/>
    </row>
    <row r="2324" spans="7:9" ht="12.75">
      <c r="G2324" s="66"/>
      <c r="H2324" s="66"/>
      <c r="I2324" s="66"/>
    </row>
    <row r="2325" spans="7:9" ht="12.75">
      <c r="G2325" s="66"/>
      <c r="H2325" s="66"/>
      <c r="I2325" s="66"/>
    </row>
    <row r="2326" spans="7:9" ht="12.75">
      <c r="G2326" s="66"/>
      <c r="H2326" s="66"/>
      <c r="I2326" s="66"/>
    </row>
    <row r="2327" spans="7:9" ht="12.75">
      <c r="G2327" s="66"/>
      <c r="H2327" s="66"/>
      <c r="I2327" s="66"/>
    </row>
    <row r="2328" spans="7:9" ht="12.75">
      <c r="G2328" s="66"/>
      <c r="H2328" s="66"/>
      <c r="I2328" s="66"/>
    </row>
    <row r="2329" spans="7:9" ht="12.75">
      <c r="G2329" s="66"/>
      <c r="H2329" s="66"/>
      <c r="I2329" s="66"/>
    </row>
    <row r="2330" spans="7:9" ht="12.75">
      <c r="G2330" s="66"/>
      <c r="H2330" s="66"/>
      <c r="I2330" s="66"/>
    </row>
    <row r="2331" spans="7:9" ht="12.75">
      <c r="G2331" s="66"/>
      <c r="H2331" s="66"/>
      <c r="I2331" s="66"/>
    </row>
    <row r="2332" spans="7:9" ht="12.75">
      <c r="G2332" s="66"/>
      <c r="H2332" s="66"/>
      <c r="I2332" s="66"/>
    </row>
    <row r="2333" spans="7:9" ht="12.75">
      <c r="G2333" s="66"/>
      <c r="H2333" s="66"/>
      <c r="I2333" s="66"/>
    </row>
    <row r="2334" spans="7:9" ht="12.75">
      <c r="G2334" s="66"/>
      <c r="H2334" s="66"/>
      <c r="I2334" s="66"/>
    </row>
    <row r="2335" spans="7:9" ht="12.75">
      <c r="G2335" s="66"/>
      <c r="H2335" s="66"/>
      <c r="I2335" s="66"/>
    </row>
    <row r="2336" spans="7:9" ht="12.75">
      <c r="G2336" s="66"/>
      <c r="H2336" s="66"/>
      <c r="I2336" s="66"/>
    </row>
    <row r="2337" spans="7:9" ht="12.75">
      <c r="G2337" s="66"/>
      <c r="H2337" s="66"/>
      <c r="I2337" s="66"/>
    </row>
    <row r="2338" spans="7:9" ht="12.75">
      <c r="G2338" s="66"/>
      <c r="H2338" s="66"/>
      <c r="I2338" s="66"/>
    </row>
    <row r="2339" spans="7:9" ht="12.75">
      <c r="G2339" s="66"/>
      <c r="H2339" s="66"/>
      <c r="I2339" s="66"/>
    </row>
    <row r="2340" spans="7:9" ht="12.75">
      <c r="G2340" s="66"/>
      <c r="H2340" s="66"/>
      <c r="I2340" s="66"/>
    </row>
    <row r="2341" spans="7:9" ht="12.75">
      <c r="G2341" s="66"/>
      <c r="H2341" s="66"/>
      <c r="I2341" s="66"/>
    </row>
    <row r="2342" spans="7:9" ht="12.75">
      <c r="G2342" s="66"/>
      <c r="H2342" s="66"/>
      <c r="I2342" s="66"/>
    </row>
    <row r="2343" spans="7:9" ht="12.75">
      <c r="G2343" s="66"/>
      <c r="H2343" s="66"/>
      <c r="I2343" s="66"/>
    </row>
    <row r="2344" spans="7:9" ht="12.75">
      <c r="G2344" s="66"/>
      <c r="H2344" s="66"/>
      <c r="I2344" s="66"/>
    </row>
    <row r="2345" spans="7:9" ht="12.75">
      <c r="G2345" s="66"/>
      <c r="H2345" s="66"/>
      <c r="I2345" s="66"/>
    </row>
    <row r="2346" spans="7:9" ht="12.75">
      <c r="G2346" s="66"/>
      <c r="H2346" s="66"/>
      <c r="I2346" s="66"/>
    </row>
    <row r="2347" spans="7:9" ht="12.75">
      <c r="G2347" s="66"/>
      <c r="H2347" s="66"/>
      <c r="I2347" s="66"/>
    </row>
    <row r="2348" spans="7:9" ht="12.75">
      <c r="G2348" s="66"/>
      <c r="H2348" s="66"/>
      <c r="I2348" s="66"/>
    </row>
    <row r="2349" spans="7:9" ht="12.75">
      <c r="G2349" s="66"/>
      <c r="H2349" s="66"/>
      <c r="I2349" s="66"/>
    </row>
    <row r="2350" spans="7:9" ht="12.75">
      <c r="G2350" s="66"/>
      <c r="H2350" s="66"/>
      <c r="I2350" s="66"/>
    </row>
    <row r="2351" spans="7:9" ht="12.75">
      <c r="G2351" s="66"/>
      <c r="H2351" s="66"/>
      <c r="I2351" s="66"/>
    </row>
    <row r="2352" spans="7:9" ht="12.75">
      <c r="G2352" s="66"/>
      <c r="H2352" s="66"/>
      <c r="I2352" s="66"/>
    </row>
    <row r="2353" spans="7:9" ht="12.75">
      <c r="G2353" s="66"/>
      <c r="H2353" s="66"/>
      <c r="I2353" s="66"/>
    </row>
    <row r="2354" spans="7:9" ht="12.75">
      <c r="G2354" s="66"/>
      <c r="H2354" s="66"/>
      <c r="I2354" s="66"/>
    </row>
    <row r="2355" spans="7:9" ht="12.75">
      <c r="G2355" s="66"/>
      <c r="H2355" s="66"/>
      <c r="I2355" s="66"/>
    </row>
    <row r="2356" spans="7:9" ht="12.75">
      <c r="G2356" s="66"/>
      <c r="H2356" s="66"/>
      <c r="I2356" s="66"/>
    </row>
    <row r="2357" spans="7:9" ht="12.75">
      <c r="G2357" s="66"/>
      <c r="H2357" s="66"/>
      <c r="I2357" s="66"/>
    </row>
    <row r="2358" spans="7:9" ht="12.75">
      <c r="G2358" s="66"/>
      <c r="H2358" s="66"/>
      <c r="I2358" s="66"/>
    </row>
    <row r="2359" spans="7:9" ht="12.75">
      <c r="G2359" s="66"/>
      <c r="H2359" s="66"/>
      <c r="I2359" s="66"/>
    </row>
    <row r="2360" spans="7:9" ht="12.75">
      <c r="G2360" s="66"/>
      <c r="H2360" s="66"/>
      <c r="I2360" s="66"/>
    </row>
    <row r="2361" spans="7:9" ht="12.75">
      <c r="G2361" s="66"/>
      <c r="H2361" s="66"/>
      <c r="I2361" s="66"/>
    </row>
    <row r="2362" spans="7:9" ht="12.75">
      <c r="G2362" s="66"/>
      <c r="H2362" s="66"/>
      <c r="I2362" s="66"/>
    </row>
    <row r="2363" spans="7:9" ht="12.75">
      <c r="G2363" s="66"/>
      <c r="H2363" s="66"/>
      <c r="I2363" s="66"/>
    </row>
    <row r="2364" spans="7:9" ht="12.75">
      <c r="G2364" s="66"/>
      <c r="H2364" s="66"/>
      <c r="I2364" s="66"/>
    </row>
    <row r="2365" spans="7:9" ht="12.75">
      <c r="G2365" s="66"/>
      <c r="H2365" s="66"/>
      <c r="I2365" s="66"/>
    </row>
    <row r="2366" spans="7:9" ht="12.75">
      <c r="G2366" s="66"/>
      <c r="H2366" s="66"/>
      <c r="I2366" s="66"/>
    </row>
    <row r="2367" spans="7:9" ht="12.75">
      <c r="G2367" s="66"/>
      <c r="H2367" s="66"/>
      <c r="I2367" s="66"/>
    </row>
    <row r="2368" spans="7:9" ht="12.75">
      <c r="G2368" s="66"/>
      <c r="H2368" s="66"/>
      <c r="I2368" s="66"/>
    </row>
    <row r="2369" spans="7:9" ht="12.75">
      <c r="G2369" s="66"/>
      <c r="H2369" s="66"/>
      <c r="I2369" s="66"/>
    </row>
    <row r="2370" spans="7:9" ht="12.75">
      <c r="G2370" s="66"/>
      <c r="H2370" s="66"/>
      <c r="I2370" s="66"/>
    </row>
    <row r="2371" spans="7:9" ht="12.75">
      <c r="G2371" s="66"/>
      <c r="H2371" s="66"/>
      <c r="I2371" s="66"/>
    </row>
    <row r="2372" spans="7:9" ht="12.75">
      <c r="G2372" s="66"/>
      <c r="H2372" s="66"/>
      <c r="I2372" s="66"/>
    </row>
    <row r="2373" spans="7:9" ht="12.75">
      <c r="G2373" s="66"/>
      <c r="H2373" s="66"/>
      <c r="I2373" s="66"/>
    </row>
    <row r="2374" spans="7:9" ht="12.75">
      <c r="G2374" s="66"/>
      <c r="H2374" s="66"/>
      <c r="I2374" s="66"/>
    </row>
    <row r="2375" spans="7:9" ht="12.75">
      <c r="G2375" s="66"/>
      <c r="H2375" s="66"/>
      <c r="I2375" s="66"/>
    </row>
    <row r="2376" spans="7:9" ht="12.75">
      <c r="G2376" s="66"/>
      <c r="H2376" s="66"/>
      <c r="I2376" s="66"/>
    </row>
    <row r="2377" spans="7:9" ht="12.75">
      <c r="G2377" s="66"/>
      <c r="H2377" s="66"/>
      <c r="I2377" s="66"/>
    </row>
    <row r="2378" spans="7:9" ht="12.75">
      <c r="G2378" s="66"/>
      <c r="H2378" s="66"/>
      <c r="I2378" s="66"/>
    </row>
    <row r="2379" spans="7:9" ht="12.75">
      <c r="G2379" s="66"/>
      <c r="H2379" s="66"/>
      <c r="I2379" s="66"/>
    </row>
    <row r="2380" spans="7:9" ht="12.75">
      <c r="G2380" s="66"/>
      <c r="H2380" s="66"/>
      <c r="I2380" s="66"/>
    </row>
    <row r="2381" spans="7:9" ht="12.75">
      <c r="G2381" s="66"/>
      <c r="H2381" s="66"/>
      <c r="I2381" s="66"/>
    </row>
    <row r="2382" spans="7:9" ht="12.75">
      <c r="G2382" s="66"/>
      <c r="H2382" s="66"/>
      <c r="I2382" s="66"/>
    </row>
    <row r="2383" spans="7:9" ht="12.75">
      <c r="G2383" s="66"/>
      <c r="H2383" s="66"/>
      <c r="I2383" s="66"/>
    </row>
    <row r="2384" spans="7:9" ht="12.75">
      <c r="G2384" s="66"/>
      <c r="H2384" s="66"/>
      <c r="I2384" s="66"/>
    </row>
    <row r="2385" spans="7:9" ht="12.75">
      <c r="G2385" s="66"/>
      <c r="H2385" s="66"/>
      <c r="I2385" s="66"/>
    </row>
    <row r="2386" spans="7:9" ht="12.75">
      <c r="G2386" s="66"/>
      <c r="H2386" s="66"/>
      <c r="I2386" s="66"/>
    </row>
    <row r="2387" spans="7:9" ht="12.75">
      <c r="G2387" s="66"/>
      <c r="H2387" s="66"/>
      <c r="I2387" s="66"/>
    </row>
    <row r="2388" spans="7:9" ht="12.75">
      <c r="G2388" s="66"/>
      <c r="H2388" s="66"/>
      <c r="I2388" s="66"/>
    </row>
    <row r="2389" spans="7:9" ht="12.75">
      <c r="G2389" s="66"/>
      <c r="H2389" s="66"/>
      <c r="I2389" s="66"/>
    </row>
    <row r="2390" spans="7:9" ht="12.75">
      <c r="G2390" s="66"/>
      <c r="H2390" s="66"/>
      <c r="I2390" s="66"/>
    </row>
    <row r="2391" spans="7:9" ht="12.75">
      <c r="G2391" s="66"/>
      <c r="H2391" s="66"/>
      <c r="I2391" s="66"/>
    </row>
    <row r="2392" spans="7:9" ht="12.75">
      <c r="G2392" s="66"/>
      <c r="H2392" s="66"/>
      <c r="I2392" s="66"/>
    </row>
    <row r="2393" spans="7:9" ht="12.75">
      <c r="G2393" s="66"/>
      <c r="H2393" s="66"/>
      <c r="I2393" s="66"/>
    </row>
    <row r="2394" spans="7:9" ht="12.75">
      <c r="G2394" s="66"/>
      <c r="H2394" s="66"/>
      <c r="I2394" s="66"/>
    </row>
    <row r="2395" spans="7:9" ht="12.75">
      <c r="G2395" s="66"/>
      <c r="H2395" s="66"/>
      <c r="I2395" s="66"/>
    </row>
    <row r="2396" spans="7:9" ht="12.75">
      <c r="G2396" s="66"/>
      <c r="H2396" s="66"/>
      <c r="I2396" s="66"/>
    </row>
    <row r="2397" spans="7:9" ht="12.75">
      <c r="G2397" s="66"/>
      <c r="H2397" s="66"/>
      <c r="I2397" s="66"/>
    </row>
    <row r="2398" spans="7:9" ht="12.75">
      <c r="G2398" s="66"/>
      <c r="H2398" s="66"/>
      <c r="I2398" s="66"/>
    </row>
    <row r="2399" spans="7:9" ht="12.75">
      <c r="G2399" s="66"/>
      <c r="H2399" s="66"/>
      <c r="I2399" s="66"/>
    </row>
    <row r="2400" spans="7:9" ht="12.75">
      <c r="G2400" s="66"/>
      <c r="H2400" s="66"/>
      <c r="I2400" s="66"/>
    </row>
    <row r="2401" spans="7:9" ht="12.75">
      <c r="G2401" s="66"/>
      <c r="H2401" s="66"/>
      <c r="I2401" s="66"/>
    </row>
    <row r="2402" spans="7:9" ht="12.75">
      <c r="G2402" s="66"/>
      <c r="H2402" s="66"/>
      <c r="I2402" s="66"/>
    </row>
    <row r="2403" spans="7:9" ht="12.75">
      <c r="G2403" s="66"/>
      <c r="H2403" s="66"/>
      <c r="I2403" s="66"/>
    </row>
    <row r="2404" spans="7:9" ht="12.75">
      <c r="G2404" s="66"/>
      <c r="H2404" s="66"/>
      <c r="I2404" s="66"/>
    </row>
    <row r="2405" spans="7:9" ht="12.75">
      <c r="G2405" s="66"/>
      <c r="H2405" s="66"/>
      <c r="I2405" s="66"/>
    </row>
    <row r="2406" spans="7:9" ht="12.75">
      <c r="G2406" s="66"/>
      <c r="H2406" s="66"/>
      <c r="I2406" s="66"/>
    </row>
    <row r="2407" spans="7:9" ht="12.75">
      <c r="G2407" s="66"/>
      <c r="H2407" s="66"/>
      <c r="I2407" s="66"/>
    </row>
    <row r="2408" spans="7:9" ht="12.75">
      <c r="G2408" s="66"/>
      <c r="H2408" s="66"/>
      <c r="I2408" s="66"/>
    </row>
    <row r="2409" spans="7:9" ht="12.75">
      <c r="G2409" s="66"/>
      <c r="H2409" s="66"/>
      <c r="I2409" s="66"/>
    </row>
    <row r="2410" spans="7:9" ht="12.75">
      <c r="G2410" s="66"/>
      <c r="H2410" s="66"/>
      <c r="I2410" s="66"/>
    </row>
    <row r="2411" spans="7:9" ht="12.75">
      <c r="G2411" s="66"/>
      <c r="H2411" s="66"/>
      <c r="I2411" s="66"/>
    </row>
    <row r="2412" spans="7:9" ht="12.75">
      <c r="G2412" s="66"/>
      <c r="H2412" s="66"/>
      <c r="I2412" s="66"/>
    </row>
    <row r="2413" spans="7:9" ht="12.75">
      <c r="G2413" s="66"/>
      <c r="H2413" s="66"/>
      <c r="I2413" s="66"/>
    </row>
    <row r="2414" spans="7:9" ht="12.75">
      <c r="G2414" s="66"/>
      <c r="H2414" s="66"/>
      <c r="I2414" s="66"/>
    </row>
    <row r="2415" spans="7:9" ht="12.75">
      <c r="G2415" s="66"/>
      <c r="H2415" s="66"/>
      <c r="I2415" s="66"/>
    </row>
    <row r="2416" spans="7:9" ht="12.75">
      <c r="G2416" s="66"/>
      <c r="H2416" s="66"/>
      <c r="I2416" s="66"/>
    </row>
    <row r="2417" spans="7:9" ht="12.75">
      <c r="G2417" s="66"/>
      <c r="H2417" s="66"/>
      <c r="I2417" s="66"/>
    </row>
    <row r="2418" spans="7:9" ht="12.75">
      <c r="G2418" s="66"/>
      <c r="H2418" s="66"/>
      <c r="I2418" s="66"/>
    </row>
    <row r="2419" spans="7:9" ht="12.75">
      <c r="G2419" s="66"/>
      <c r="H2419" s="66"/>
      <c r="I2419" s="66"/>
    </row>
    <row r="2420" spans="7:9" ht="12.75">
      <c r="G2420" s="66"/>
      <c r="H2420" s="66"/>
      <c r="I2420" s="66"/>
    </row>
    <row r="2421" spans="7:9" ht="12.75">
      <c r="G2421" s="66"/>
      <c r="H2421" s="66"/>
      <c r="I2421" s="66"/>
    </row>
    <row r="2422" spans="7:9" ht="12.75">
      <c r="G2422" s="66"/>
      <c r="H2422" s="66"/>
      <c r="I2422" s="66"/>
    </row>
    <row r="2423" spans="7:9" ht="12.75">
      <c r="G2423" s="66"/>
      <c r="H2423" s="66"/>
      <c r="I2423" s="66"/>
    </row>
    <row r="2424" spans="7:9" ht="12.75">
      <c r="G2424" s="66"/>
      <c r="H2424" s="66"/>
      <c r="I2424" s="66"/>
    </row>
    <row r="2425" spans="7:9" ht="12.75">
      <c r="G2425" s="66"/>
      <c r="H2425" s="66"/>
      <c r="I2425" s="66"/>
    </row>
    <row r="2426" spans="7:9" ht="12.75">
      <c r="G2426" s="66"/>
      <c r="H2426" s="66"/>
      <c r="I2426" s="66"/>
    </row>
    <row r="2427" spans="7:9" ht="12.75">
      <c r="G2427" s="66"/>
      <c r="H2427" s="66"/>
      <c r="I2427" s="66"/>
    </row>
    <row r="2428" spans="7:9" ht="12.75">
      <c r="G2428" s="66"/>
      <c r="H2428" s="66"/>
      <c r="I2428" s="66"/>
    </row>
    <row r="2429" spans="7:9" ht="12.75">
      <c r="G2429" s="66"/>
      <c r="H2429" s="66"/>
      <c r="I2429" s="66"/>
    </row>
    <row r="2430" spans="7:9" ht="12.75">
      <c r="G2430" s="66"/>
      <c r="H2430" s="66"/>
      <c r="I2430" s="66"/>
    </row>
    <row r="2431" spans="7:9" ht="12.75">
      <c r="G2431" s="66"/>
      <c r="H2431" s="66"/>
      <c r="I2431" s="66"/>
    </row>
    <row r="2432" spans="7:9" ht="12.75">
      <c r="G2432" s="66"/>
      <c r="H2432" s="66"/>
      <c r="I2432" s="66"/>
    </row>
    <row r="2433" spans="7:9" ht="12.75">
      <c r="G2433" s="66"/>
      <c r="H2433" s="66"/>
      <c r="I2433" s="66"/>
    </row>
    <row r="2434" spans="7:9" ht="12.75">
      <c r="G2434" s="66"/>
      <c r="H2434" s="66"/>
      <c r="I2434" s="66"/>
    </row>
    <row r="2435" spans="7:9" ht="12.75">
      <c r="G2435" s="66"/>
      <c r="H2435" s="66"/>
      <c r="I2435" s="66"/>
    </row>
    <row r="2436" spans="7:9" ht="12.75">
      <c r="G2436" s="66"/>
      <c r="H2436" s="66"/>
      <c r="I2436" s="66"/>
    </row>
    <row r="2437" spans="7:9" ht="12.75">
      <c r="G2437" s="66"/>
      <c r="H2437" s="66"/>
      <c r="I2437" s="66"/>
    </row>
    <row r="2438" spans="7:9" ht="12.75">
      <c r="G2438" s="66"/>
      <c r="H2438" s="66"/>
      <c r="I2438" s="66"/>
    </row>
    <row r="2439" spans="7:9" ht="12.75">
      <c r="G2439" s="66"/>
      <c r="H2439" s="66"/>
      <c r="I2439" s="66"/>
    </row>
    <row r="2440" spans="7:9" ht="12.75">
      <c r="G2440" s="66"/>
      <c r="H2440" s="66"/>
      <c r="I2440" s="66"/>
    </row>
    <row r="2441" spans="7:9" ht="12.75">
      <c r="G2441" s="66"/>
      <c r="H2441" s="66"/>
      <c r="I2441" s="66"/>
    </row>
    <row r="2442" spans="7:9" ht="12.75">
      <c r="G2442" s="66"/>
      <c r="H2442" s="66"/>
      <c r="I2442" s="66"/>
    </row>
    <row r="2443" spans="7:9" ht="12.75">
      <c r="G2443" s="66"/>
      <c r="H2443" s="66"/>
      <c r="I2443" s="66"/>
    </row>
    <row r="2444" spans="7:9" ht="12.75">
      <c r="G2444" s="66"/>
      <c r="H2444" s="66"/>
      <c r="I2444" s="66"/>
    </row>
    <row r="2445" spans="7:9" ht="12.75">
      <c r="G2445" s="66"/>
      <c r="H2445" s="66"/>
      <c r="I2445" s="66"/>
    </row>
    <row r="2446" spans="7:9" ht="12.75">
      <c r="G2446" s="66"/>
      <c r="H2446" s="66"/>
      <c r="I2446" s="66"/>
    </row>
    <row r="2447" spans="7:9" ht="12.75">
      <c r="G2447" s="66"/>
      <c r="H2447" s="66"/>
      <c r="I2447" s="66"/>
    </row>
    <row r="2448" spans="7:9" ht="12.75">
      <c r="G2448" s="66"/>
      <c r="H2448" s="66"/>
      <c r="I2448" s="66"/>
    </row>
    <row r="2449" spans="7:9" ht="12.75">
      <c r="G2449" s="66"/>
      <c r="H2449" s="66"/>
      <c r="I2449" s="66"/>
    </row>
    <row r="2450" spans="7:9" ht="12.75">
      <c r="G2450" s="66"/>
      <c r="H2450" s="66"/>
      <c r="I2450" s="66"/>
    </row>
    <row r="2451" spans="7:9" ht="12.75">
      <c r="G2451" s="66"/>
      <c r="H2451" s="66"/>
      <c r="I2451" s="66"/>
    </row>
    <row r="2452" spans="7:9" ht="12.75">
      <c r="G2452" s="66"/>
      <c r="H2452" s="66"/>
      <c r="I2452" s="66"/>
    </row>
    <row r="2453" spans="7:9" ht="12.75">
      <c r="G2453" s="66"/>
      <c r="H2453" s="66"/>
      <c r="I2453" s="66"/>
    </row>
    <row r="2454" spans="7:9" ht="12.75">
      <c r="G2454" s="66"/>
      <c r="H2454" s="66"/>
      <c r="I2454" s="66"/>
    </row>
    <row r="2455" spans="7:9" ht="12.75">
      <c r="G2455" s="66"/>
      <c r="H2455" s="66"/>
      <c r="I2455" s="66"/>
    </row>
    <row r="2456" spans="7:9" ht="12.75">
      <c r="G2456" s="66"/>
      <c r="H2456" s="66"/>
      <c r="I2456" s="66"/>
    </row>
    <row r="2457" spans="7:9" ht="12.75">
      <c r="G2457" s="66"/>
      <c r="H2457" s="66"/>
      <c r="I2457" s="66"/>
    </row>
    <row r="2458" spans="7:9" ht="12.75">
      <c r="G2458" s="66"/>
      <c r="H2458" s="66"/>
      <c r="I2458" s="66"/>
    </row>
    <row r="2459" spans="7:9" ht="12.75">
      <c r="G2459" s="66"/>
      <c r="H2459" s="66"/>
      <c r="I2459" s="66"/>
    </row>
    <row r="2460" spans="7:9" ht="12.75">
      <c r="G2460" s="66"/>
      <c r="H2460" s="66"/>
      <c r="I2460" s="66"/>
    </row>
    <row r="2461" spans="7:9" ht="12.75">
      <c r="G2461" s="66"/>
      <c r="H2461" s="66"/>
      <c r="I2461" s="66"/>
    </row>
    <row r="2462" spans="7:9" ht="12.75">
      <c r="G2462" s="66"/>
      <c r="H2462" s="66"/>
      <c r="I2462" s="66"/>
    </row>
    <row r="2463" spans="7:9" ht="12.75">
      <c r="G2463" s="66"/>
      <c r="H2463" s="66"/>
      <c r="I2463" s="66"/>
    </row>
    <row r="2464" spans="7:9" ht="12.75">
      <c r="G2464" s="66"/>
      <c r="H2464" s="66"/>
      <c r="I2464" s="66"/>
    </row>
    <row r="2465" spans="7:9" ht="12.75">
      <c r="G2465" s="66"/>
      <c r="H2465" s="66"/>
      <c r="I2465" s="66"/>
    </row>
    <row r="2466" spans="7:9" ht="12.75">
      <c r="G2466" s="66"/>
      <c r="H2466" s="66"/>
      <c r="I2466" s="66"/>
    </row>
    <row r="2467" spans="7:9" ht="12.75">
      <c r="G2467" s="66"/>
      <c r="H2467" s="66"/>
      <c r="I2467" s="66"/>
    </row>
    <row r="2468" spans="7:9" ht="12.75">
      <c r="G2468" s="66"/>
      <c r="H2468" s="66"/>
      <c r="I2468" s="66"/>
    </row>
    <row r="2469" spans="7:9" ht="12.75">
      <c r="G2469" s="66"/>
      <c r="H2469" s="66"/>
      <c r="I2469" s="66"/>
    </row>
    <row r="2470" spans="7:9" ht="12.75">
      <c r="G2470" s="66"/>
      <c r="H2470" s="66"/>
      <c r="I2470" s="66"/>
    </row>
    <row r="2471" spans="7:9" ht="12.75">
      <c r="G2471" s="66"/>
      <c r="H2471" s="66"/>
      <c r="I2471" s="66"/>
    </row>
    <row r="2472" spans="7:9" ht="12.75">
      <c r="G2472" s="66"/>
      <c r="H2472" s="66"/>
      <c r="I2472" s="66"/>
    </row>
    <row r="2473" spans="7:9" ht="12.75">
      <c r="G2473" s="66"/>
      <c r="H2473" s="66"/>
      <c r="I2473" s="66"/>
    </row>
    <row r="2474" spans="7:9" ht="12.75">
      <c r="G2474" s="66"/>
      <c r="H2474" s="66"/>
      <c r="I2474" s="66"/>
    </row>
    <row r="2475" spans="7:9" ht="12.75">
      <c r="G2475" s="66"/>
      <c r="H2475" s="66"/>
      <c r="I2475" s="66"/>
    </row>
    <row r="2476" spans="7:9" ht="12.75">
      <c r="G2476" s="66"/>
      <c r="H2476" s="66"/>
      <c r="I2476" s="66"/>
    </row>
    <row r="2477" spans="7:9" ht="12.75">
      <c r="G2477" s="66"/>
      <c r="H2477" s="66"/>
      <c r="I2477" s="66"/>
    </row>
    <row r="2478" spans="7:9" ht="12.75">
      <c r="G2478" s="66"/>
      <c r="H2478" s="66"/>
      <c r="I2478" s="66"/>
    </row>
    <row r="2479" spans="7:9" ht="12.75">
      <c r="G2479" s="66"/>
      <c r="H2479" s="66"/>
      <c r="I2479" s="66"/>
    </row>
    <row r="2480" spans="7:9" ht="12.75">
      <c r="G2480" s="66"/>
      <c r="H2480" s="66"/>
      <c r="I2480" s="66"/>
    </row>
    <row r="2481" spans="7:9" ht="12.75">
      <c r="G2481" s="66"/>
      <c r="H2481" s="66"/>
      <c r="I2481" s="66"/>
    </row>
    <row r="2482" spans="7:9" ht="12.75">
      <c r="G2482" s="66"/>
      <c r="H2482" s="66"/>
      <c r="I2482" s="66"/>
    </row>
    <row r="2483" spans="7:9" ht="12.75">
      <c r="G2483" s="66"/>
      <c r="H2483" s="66"/>
      <c r="I2483" s="66"/>
    </row>
    <row r="2484" spans="7:9" ht="12.75">
      <c r="G2484" s="66"/>
      <c r="H2484" s="66"/>
      <c r="I2484" s="66"/>
    </row>
    <row r="2485" spans="7:9" ht="12.75">
      <c r="G2485" s="66"/>
      <c r="H2485" s="66"/>
      <c r="I2485" s="66"/>
    </row>
    <row r="2486" spans="7:9" ht="12.75">
      <c r="G2486" s="66"/>
      <c r="H2486" s="66"/>
      <c r="I2486" s="66"/>
    </row>
    <row r="2487" spans="7:9" ht="12.75">
      <c r="G2487" s="66"/>
      <c r="H2487" s="66"/>
      <c r="I2487" s="66"/>
    </row>
    <row r="2488" spans="7:9" ht="12.75">
      <c r="G2488" s="66"/>
      <c r="H2488" s="66"/>
      <c r="I2488" s="66"/>
    </row>
    <row r="2489" spans="7:9" ht="12.75">
      <c r="G2489" s="66"/>
      <c r="H2489" s="66"/>
      <c r="I2489" s="66"/>
    </row>
    <row r="2490" spans="7:9" ht="12.75">
      <c r="G2490" s="66"/>
      <c r="H2490" s="66"/>
      <c r="I2490" s="66"/>
    </row>
    <row r="2491" spans="7:9" ht="12.75">
      <c r="G2491" s="66"/>
      <c r="H2491" s="66"/>
      <c r="I2491" s="66"/>
    </row>
    <row r="2492" spans="7:9" ht="12.75">
      <c r="G2492" s="66"/>
      <c r="H2492" s="66"/>
      <c r="I2492" s="66"/>
    </row>
    <row r="2493" spans="7:9" ht="12.75">
      <c r="G2493" s="66"/>
      <c r="H2493" s="66"/>
      <c r="I2493" s="66"/>
    </row>
    <row r="2494" spans="7:9" ht="12.75">
      <c r="G2494" s="66"/>
      <c r="H2494" s="66"/>
      <c r="I2494" s="66"/>
    </row>
    <row r="2495" spans="7:9" ht="12.75">
      <c r="G2495" s="66"/>
      <c r="H2495" s="66"/>
      <c r="I2495" s="66"/>
    </row>
    <row r="2496" spans="7:9" ht="12.75">
      <c r="G2496" s="66"/>
      <c r="H2496" s="66"/>
      <c r="I2496" s="66"/>
    </row>
    <row r="2497" spans="7:9" ht="12.75">
      <c r="G2497" s="66"/>
      <c r="H2497" s="66"/>
      <c r="I2497" s="66"/>
    </row>
    <row r="2498" spans="7:9" ht="12.75">
      <c r="G2498" s="66"/>
      <c r="H2498" s="66"/>
      <c r="I2498" s="66"/>
    </row>
    <row r="2499" spans="7:9" ht="12.75">
      <c r="G2499" s="66"/>
      <c r="H2499" s="66"/>
      <c r="I2499" s="66"/>
    </row>
    <row r="2500" spans="7:9" ht="12.75">
      <c r="G2500" s="66"/>
      <c r="H2500" s="66"/>
      <c r="I2500" s="66"/>
    </row>
    <row r="2501" spans="7:9" ht="12.75">
      <c r="G2501" s="66"/>
      <c r="H2501" s="66"/>
      <c r="I2501" s="66"/>
    </row>
    <row r="2502" spans="7:9" ht="12.75">
      <c r="G2502" s="66"/>
      <c r="H2502" s="66"/>
      <c r="I2502" s="66"/>
    </row>
    <row r="2503" spans="7:9" ht="12.75">
      <c r="G2503" s="66"/>
      <c r="H2503" s="66"/>
      <c r="I2503" s="66"/>
    </row>
    <row r="2504" spans="7:9" ht="12.75">
      <c r="G2504" s="66"/>
      <c r="H2504" s="66"/>
      <c r="I2504" s="66"/>
    </row>
    <row r="2505" spans="7:9" ht="12.75">
      <c r="G2505" s="66"/>
      <c r="H2505" s="66"/>
      <c r="I2505" s="66"/>
    </row>
    <row r="2506" spans="7:9" ht="12.75">
      <c r="G2506" s="66"/>
      <c r="H2506" s="66"/>
      <c r="I2506" s="66"/>
    </row>
    <row r="2507" spans="7:9" ht="12.75">
      <c r="G2507" s="66"/>
      <c r="H2507" s="66"/>
      <c r="I2507" s="66"/>
    </row>
    <row r="2508" spans="7:9" ht="12.75">
      <c r="G2508" s="66"/>
      <c r="H2508" s="66"/>
      <c r="I2508" s="66"/>
    </row>
    <row r="2509" spans="7:9" ht="12.75">
      <c r="G2509" s="66"/>
      <c r="H2509" s="66"/>
      <c r="I2509" s="66"/>
    </row>
    <row r="2510" spans="7:9" ht="12.75">
      <c r="G2510" s="66"/>
      <c r="H2510" s="66"/>
      <c r="I2510" s="66"/>
    </row>
    <row r="2511" spans="7:9" ht="12.75">
      <c r="G2511" s="66"/>
      <c r="H2511" s="66"/>
      <c r="I2511" s="66"/>
    </row>
    <row r="2512" spans="7:9" ht="12.75">
      <c r="G2512" s="66"/>
      <c r="H2512" s="66"/>
      <c r="I2512" s="66"/>
    </row>
    <row r="2513" spans="7:9" ht="12.75">
      <c r="G2513" s="66"/>
      <c r="H2513" s="66"/>
      <c r="I2513" s="66"/>
    </row>
    <row r="2514" spans="7:9" ht="12.75">
      <c r="G2514" s="66"/>
      <c r="H2514" s="66"/>
      <c r="I2514" s="66"/>
    </row>
    <row r="2515" spans="7:9" ht="12.75">
      <c r="G2515" s="66"/>
      <c r="H2515" s="66"/>
      <c r="I2515" s="66"/>
    </row>
    <row r="2516" spans="7:9" ht="12.75">
      <c r="G2516" s="66"/>
      <c r="H2516" s="66"/>
      <c r="I2516" s="66"/>
    </row>
    <row r="2517" spans="7:9" ht="12.75">
      <c r="G2517" s="66"/>
      <c r="H2517" s="66"/>
      <c r="I2517" s="66"/>
    </row>
    <row r="2518" spans="7:9" ht="12.75">
      <c r="G2518" s="66"/>
      <c r="H2518" s="66"/>
      <c r="I2518" s="66"/>
    </row>
    <row r="2519" spans="7:9" ht="12.75">
      <c r="G2519" s="66"/>
      <c r="H2519" s="66"/>
      <c r="I2519" s="66"/>
    </row>
    <row r="2520" spans="7:9" ht="12.75">
      <c r="G2520" s="66"/>
      <c r="H2520" s="66"/>
      <c r="I2520" s="66"/>
    </row>
    <row r="2521" spans="7:9" ht="12.75">
      <c r="G2521" s="66"/>
      <c r="H2521" s="66"/>
      <c r="I2521" s="66"/>
    </row>
    <row r="2522" spans="7:9" ht="12.75">
      <c r="G2522" s="66"/>
      <c r="H2522" s="66"/>
      <c r="I2522" s="66"/>
    </row>
    <row r="2523" spans="7:9" ht="12.75">
      <c r="G2523" s="66"/>
      <c r="H2523" s="66"/>
      <c r="I2523" s="66"/>
    </row>
    <row r="2524" spans="7:9" ht="12.75">
      <c r="G2524" s="66"/>
      <c r="H2524" s="66"/>
      <c r="I2524" s="66"/>
    </row>
    <row r="2525" spans="7:9" ht="12.75">
      <c r="G2525" s="66"/>
      <c r="H2525" s="66"/>
      <c r="I2525" s="66"/>
    </row>
    <row r="2526" spans="7:9" ht="12.75">
      <c r="G2526" s="66"/>
      <c r="H2526" s="66"/>
      <c r="I2526" s="66"/>
    </row>
    <row r="2527" spans="7:9" ht="12.75">
      <c r="G2527" s="66"/>
      <c r="H2527" s="66"/>
      <c r="I2527" s="66"/>
    </row>
    <row r="2528" spans="7:9" ht="12.75">
      <c r="G2528" s="66"/>
      <c r="H2528" s="66"/>
      <c r="I2528" s="66"/>
    </row>
    <row r="2529" spans="7:9" ht="12.75">
      <c r="G2529" s="66"/>
      <c r="H2529" s="66"/>
      <c r="I2529" s="66"/>
    </row>
    <row r="2530" spans="7:9" ht="12.75">
      <c r="G2530" s="66"/>
      <c r="H2530" s="66"/>
      <c r="I2530" s="66"/>
    </row>
    <row r="2531" spans="7:9" ht="12.75">
      <c r="G2531" s="66"/>
      <c r="H2531" s="66"/>
      <c r="I2531" s="66"/>
    </row>
    <row r="2532" spans="7:9" ht="12.75">
      <c r="G2532" s="66"/>
      <c r="H2532" s="66"/>
      <c r="I2532" s="66"/>
    </row>
    <row r="2533" spans="7:9" ht="12.75">
      <c r="G2533" s="66"/>
      <c r="H2533" s="66"/>
      <c r="I2533" s="66"/>
    </row>
    <row r="2534" spans="7:9" ht="12.75">
      <c r="G2534" s="66"/>
      <c r="H2534" s="66"/>
      <c r="I2534" s="66"/>
    </row>
    <row r="2535" spans="7:9" ht="12.75">
      <c r="G2535" s="66"/>
      <c r="H2535" s="66"/>
      <c r="I2535" s="66"/>
    </row>
    <row r="2536" spans="7:9" ht="12.75">
      <c r="G2536" s="66"/>
      <c r="H2536" s="66"/>
      <c r="I2536" s="66"/>
    </row>
    <row r="2537" spans="7:9" ht="12.75">
      <c r="G2537" s="66"/>
      <c r="H2537" s="66"/>
      <c r="I2537" s="66"/>
    </row>
    <row r="2538" spans="7:9" ht="12.75">
      <c r="G2538" s="66"/>
      <c r="H2538" s="66"/>
      <c r="I2538" s="66"/>
    </row>
    <row r="2539" spans="7:9" ht="12.75">
      <c r="G2539" s="66"/>
      <c r="H2539" s="66"/>
      <c r="I2539" s="66"/>
    </row>
    <row r="2540" spans="7:9" ht="12.75">
      <c r="G2540" s="66"/>
      <c r="H2540" s="66"/>
      <c r="I2540" s="66"/>
    </row>
    <row r="2541" spans="7:9" ht="12.75">
      <c r="G2541" s="66"/>
      <c r="H2541" s="66"/>
      <c r="I2541" s="66"/>
    </row>
    <row r="2542" spans="7:9" ht="12.75">
      <c r="G2542" s="66"/>
      <c r="H2542" s="66"/>
      <c r="I2542" s="66"/>
    </row>
    <row r="2543" spans="7:9" ht="12.75">
      <c r="G2543" s="66"/>
      <c r="H2543" s="66"/>
      <c r="I2543" s="66"/>
    </row>
    <row r="2544" spans="7:9" ht="12.75">
      <c r="G2544" s="66"/>
      <c r="H2544" s="66"/>
      <c r="I2544" s="66"/>
    </row>
    <row r="2545" spans="7:9" ht="12.75">
      <c r="G2545" s="66"/>
      <c r="H2545" s="66"/>
      <c r="I2545" s="66"/>
    </row>
    <row r="2546" spans="7:9" ht="12.75">
      <c r="G2546" s="66"/>
      <c r="H2546" s="66"/>
      <c r="I2546" s="66"/>
    </row>
    <row r="2547" spans="7:9" ht="12.75">
      <c r="G2547" s="66"/>
      <c r="H2547" s="66"/>
      <c r="I2547" s="66"/>
    </row>
    <row r="2548" spans="7:9" ht="12.75">
      <c r="G2548" s="66"/>
      <c r="H2548" s="66"/>
      <c r="I2548" s="66"/>
    </row>
    <row r="2549" spans="7:9" ht="12.75">
      <c r="G2549" s="66"/>
      <c r="H2549" s="66"/>
      <c r="I2549" s="66"/>
    </row>
    <row r="2550" spans="7:9" ht="12.75">
      <c r="G2550" s="66"/>
      <c r="H2550" s="66"/>
      <c r="I2550" s="66"/>
    </row>
    <row r="2551" spans="7:9" ht="12.75">
      <c r="G2551" s="66"/>
      <c r="H2551" s="66"/>
      <c r="I2551" s="66"/>
    </row>
    <row r="2552" spans="7:9" ht="12.75">
      <c r="G2552" s="66"/>
      <c r="H2552" s="66"/>
      <c r="I2552" s="66"/>
    </row>
    <row r="2553" spans="7:9" ht="12.75">
      <c r="G2553" s="66"/>
      <c r="H2553" s="66"/>
      <c r="I2553" s="66"/>
    </row>
    <row r="2554" spans="7:9" ht="12.75">
      <c r="G2554" s="66"/>
      <c r="H2554" s="66"/>
      <c r="I2554" s="66"/>
    </row>
    <row r="2555" spans="7:9" ht="12.75">
      <c r="G2555" s="66"/>
      <c r="H2555" s="66"/>
      <c r="I2555" s="66"/>
    </row>
    <row r="2556" spans="7:9" ht="12.75">
      <c r="G2556" s="66"/>
      <c r="H2556" s="66"/>
      <c r="I2556" s="66"/>
    </row>
    <row r="2557" spans="7:9" ht="12.75">
      <c r="G2557" s="66"/>
      <c r="H2557" s="66"/>
      <c r="I2557" s="66"/>
    </row>
    <row r="2558" spans="7:9" ht="12.75">
      <c r="G2558" s="66"/>
      <c r="H2558" s="66"/>
      <c r="I2558" s="66"/>
    </row>
    <row r="2559" spans="7:9" ht="12.75">
      <c r="G2559" s="66"/>
      <c r="H2559" s="66"/>
      <c r="I2559" s="66"/>
    </row>
    <row r="2560" spans="7:9" ht="12.75">
      <c r="G2560" s="66"/>
      <c r="H2560" s="66"/>
      <c r="I2560" s="66"/>
    </row>
    <row r="2561" spans="7:9" ht="12.75">
      <c r="G2561" s="66"/>
      <c r="H2561" s="66"/>
      <c r="I2561" s="66"/>
    </row>
    <row r="2562" spans="7:9" ht="12.75">
      <c r="G2562" s="66"/>
      <c r="H2562" s="66"/>
      <c r="I2562" s="66"/>
    </row>
    <row r="2563" spans="7:9" ht="12.75">
      <c r="G2563" s="66"/>
      <c r="H2563" s="66"/>
      <c r="I2563" s="66"/>
    </row>
    <row r="2564" spans="7:9" ht="12.75">
      <c r="G2564" s="66"/>
      <c r="H2564" s="66"/>
      <c r="I2564" s="66"/>
    </row>
    <row r="2565" spans="7:9" ht="12.75">
      <c r="G2565" s="66"/>
      <c r="H2565" s="66"/>
      <c r="I2565" s="66"/>
    </row>
    <row r="2566" spans="7:9" ht="12.75">
      <c r="G2566" s="66"/>
      <c r="H2566" s="66"/>
      <c r="I2566" s="66"/>
    </row>
    <row r="2567" spans="7:9" ht="12.75">
      <c r="G2567" s="66"/>
      <c r="H2567" s="66"/>
      <c r="I2567" s="66"/>
    </row>
    <row r="2568" spans="7:9" ht="12.75">
      <c r="G2568" s="66"/>
      <c r="H2568" s="66"/>
      <c r="I2568" s="66"/>
    </row>
    <row r="2569" spans="7:9" ht="12.75">
      <c r="G2569" s="66"/>
      <c r="H2569" s="66"/>
      <c r="I2569" s="66"/>
    </row>
    <row r="2570" spans="7:9" ht="12.75">
      <c r="G2570" s="66"/>
      <c r="H2570" s="66"/>
      <c r="I2570" s="66"/>
    </row>
    <row r="2571" spans="7:9" ht="12.75">
      <c r="G2571" s="66"/>
      <c r="H2571" s="66"/>
      <c r="I2571" s="66"/>
    </row>
    <row r="2572" spans="7:9" ht="12.75">
      <c r="G2572" s="66"/>
      <c r="H2572" s="66"/>
      <c r="I2572" s="66"/>
    </row>
    <row r="2573" spans="7:9" ht="12.75">
      <c r="G2573" s="66"/>
      <c r="H2573" s="66"/>
      <c r="I2573" s="66"/>
    </row>
    <row r="2574" spans="7:9" ht="12.75">
      <c r="G2574" s="66"/>
      <c r="H2574" s="66"/>
      <c r="I2574" s="66"/>
    </row>
    <row r="2575" spans="7:9" ht="12.75">
      <c r="G2575" s="66"/>
      <c r="H2575" s="66"/>
      <c r="I2575" s="66"/>
    </row>
    <row r="2576" spans="7:9" ht="12.75">
      <c r="G2576" s="66"/>
      <c r="H2576" s="66"/>
      <c r="I2576" s="66"/>
    </row>
    <row r="2577" spans="7:9" ht="12.75">
      <c r="G2577" s="66"/>
      <c r="H2577" s="66"/>
      <c r="I2577" s="66"/>
    </row>
    <row r="2578" spans="7:9" ht="12.75">
      <c r="G2578" s="66"/>
      <c r="H2578" s="66"/>
      <c r="I2578" s="66"/>
    </row>
    <row r="2579" spans="7:9" ht="12.75">
      <c r="G2579" s="66"/>
      <c r="H2579" s="66"/>
      <c r="I2579" s="66"/>
    </row>
    <row r="2580" spans="7:9" ht="12.75">
      <c r="G2580" s="66"/>
      <c r="H2580" s="66"/>
      <c r="I2580" s="66"/>
    </row>
    <row r="2581" spans="7:9" ht="12.75">
      <c r="G2581" s="66"/>
      <c r="H2581" s="66"/>
      <c r="I2581" s="66"/>
    </row>
    <row r="2582" spans="7:9" ht="12.75">
      <c r="G2582" s="66"/>
      <c r="H2582" s="66"/>
      <c r="I2582" s="66"/>
    </row>
    <row r="2583" spans="7:9" ht="12.75">
      <c r="G2583" s="66"/>
      <c r="H2583" s="66"/>
      <c r="I2583" s="66"/>
    </row>
    <row r="2584" spans="7:9" ht="12.75">
      <c r="G2584" s="66"/>
      <c r="H2584" s="66"/>
      <c r="I2584" s="66"/>
    </row>
    <row r="2585" spans="7:9" ht="12.75">
      <c r="G2585" s="66"/>
      <c r="H2585" s="66"/>
      <c r="I2585" s="66"/>
    </row>
    <row r="2586" spans="7:9" ht="12.75">
      <c r="G2586" s="66"/>
      <c r="H2586" s="66"/>
      <c r="I2586" s="66"/>
    </row>
    <row r="2587" spans="7:9" ht="12.75">
      <c r="G2587" s="66"/>
      <c r="H2587" s="66"/>
      <c r="I2587" s="66"/>
    </row>
    <row r="2588" spans="7:9" ht="12.75">
      <c r="G2588" s="66"/>
      <c r="H2588" s="66"/>
      <c r="I2588" s="66"/>
    </row>
    <row r="2589" spans="7:9" ht="12.75">
      <c r="G2589" s="66"/>
      <c r="H2589" s="66"/>
      <c r="I2589" s="66"/>
    </row>
    <row r="2590" spans="7:9" ht="12.75">
      <c r="G2590" s="66"/>
      <c r="H2590" s="66"/>
      <c r="I2590" s="66"/>
    </row>
    <row r="2591" spans="7:9" ht="12.75">
      <c r="G2591" s="66"/>
      <c r="H2591" s="66"/>
      <c r="I2591" s="66"/>
    </row>
    <row r="2592" spans="7:9" ht="12.75">
      <c r="G2592" s="66"/>
      <c r="H2592" s="66"/>
      <c r="I2592" s="66"/>
    </row>
    <row r="2593" spans="7:9" ht="12.75">
      <c r="G2593" s="66"/>
      <c r="H2593" s="66"/>
      <c r="I2593" s="66"/>
    </row>
    <row r="2594" spans="7:9" ht="12.75">
      <c r="G2594" s="66"/>
      <c r="H2594" s="66"/>
      <c r="I2594" s="66"/>
    </row>
    <row r="2595" spans="8:9" ht="12.75">
      <c r="H2595" s="66"/>
      <c r="I2595" s="66"/>
    </row>
  </sheetData>
  <sheetProtection/>
  <mergeCells count="2">
    <mergeCell ref="A11:F11"/>
    <mergeCell ref="E744:F744"/>
  </mergeCells>
  <printOptions/>
  <pageMargins left="0.6692913385826772" right="0.11811023622047245" top="0.15748031496062992" bottom="0.15748031496062992" header="0.15748031496062992" footer="0.1574803149606299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Щеглова Виктория Александровна</cp:lastModifiedBy>
  <cp:lastPrinted>2022-02-02T03:06:46Z</cp:lastPrinted>
  <dcterms:created xsi:type="dcterms:W3CDTF">1996-10-08T23:32:33Z</dcterms:created>
  <dcterms:modified xsi:type="dcterms:W3CDTF">2022-02-04T00:10:48Z</dcterms:modified>
  <cp:category/>
  <cp:version/>
  <cp:contentType/>
  <cp:contentStatus/>
</cp:coreProperties>
</file>