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0" windowWidth="14085" windowHeight="124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Лист1!$A$1:$U$97</definedName>
  </definedNames>
  <calcPr calcId="125725"/>
</workbook>
</file>

<file path=xl/calcChain.xml><?xml version="1.0" encoding="utf-8"?>
<calcChain xmlns="http://schemas.openxmlformats.org/spreadsheetml/2006/main">
  <c r="P95" i="1"/>
  <c r="Q95"/>
  <c r="R95"/>
  <c r="S95"/>
  <c r="T95"/>
  <c r="U95"/>
  <c r="P94"/>
  <c r="U94"/>
  <c r="T94"/>
  <c r="S94"/>
  <c r="R94"/>
  <c r="Q94"/>
  <c r="P92"/>
  <c r="Q92"/>
  <c r="R92"/>
  <c r="S92" s="1"/>
  <c r="T92"/>
  <c r="U92"/>
  <c r="O92"/>
  <c r="N92"/>
  <c r="M92"/>
  <c r="K92"/>
  <c r="T91"/>
  <c r="R91"/>
  <c r="S91" s="1"/>
  <c r="P91"/>
  <c r="O91"/>
  <c r="Q91" s="1"/>
  <c r="K91"/>
  <c r="M91"/>
  <c r="J83"/>
  <c r="K83"/>
  <c r="L83"/>
  <c r="M83"/>
  <c r="N83"/>
  <c r="O83"/>
  <c r="P83"/>
  <c r="Q83"/>
  <c r="R83"/>
  <c r="S83"/>
  <c r="T83"/>
  <c r="U83"/>
  <c r="J84"/>
  <c r="K84"/>
  <c r="L84"/>
  <c r="M84"/>
  <c r="N84"/>
  <c r="O84"/>
  <c r="P84"/>
  <c r="Q84"/>
  <c r="R84"/>
  <c r="S84"/>
  <c r="T84"/>
  <c r="U84"/>
  <c r="D85"/>
  <c r="J85"/>
  <c r="K85"/>
  <c r="L85"/>
  <c r="M85"/>
  <c r="N85"/>
  <c r="O85"/>
  <c r="P85"/>
  <c r="Q85"/>
  <c r="R85"/>
  <c r="S85"/>
  <c r="T85"/>
  <c r="U85"/>
  <c r="K82"/>
  <c r="M82" s="1"/>
  <c r="O82" s="1"/>
  <c r="Q82" s="1"/>
  <c r="S82" s="1"/>
  <c r="U82" s="1"/>
  <c r="J82"/>
  <c r="L82" s="1"/>
  <c r="N82" s="1"/>
  <c r="P82" s="1"/>
  <c r="R82" s="1"/>
  <c r="T82" s="1"/>
  <c r="Q23"/>
  <c r="S23" s="1"/>
  <c r="U23" s="1"/>
  <c r="P23"/>
  <c r="R23" s="1"/>
  <c r="T23" s="1"/>
  <c r="G22"/>
  <c r="G20"/>
  <c r="P19"/>
  <c r="R19" s="1"/>
  <c r="T19" s="1"/>
  <c r="P16"/>
  <c r="R16"/>
  <c r="T16" s="1"/>
  <c r="P14"/>
  <c r="P13"/>
  <c r="R13" s="1"/>
  <c r="T13" s="1"/>
  <c r="R14"/>
  <c r="T14" s="1"/>
  <c r="P12"/>
  <c r="O56" s="1"/>
  <c r="C5" i="2"/>
  <c r="H96" i="1"/>
  <c r="I56"/>
  <c r="U91" l="1"/>
  <c r="R12"/>
  <c r="T12" s="1"/>
  <c r="U96"/>
  <c r="T96"/>
  <c r="I96" l="1"/>
  <c r="Q56" l="1"/>
  <c r="S96"/>
  <c r="R96"/>
  <c r="S56" l="1"/>
  <c r="F56"/>
  <c r="G56" l="1"/>
  <c r="F14" l="1"/>
  <c r="F19" s="1"/>
  <c r="F86"/>
  <c r="G86" s="1"/>
  <c r="H86" s="1"/>
  <c r="J86" s="1"/>
  <c r="L86" s="1"/>
  <c r="N86" s="1"/>
  <c r="P86" s="1"/>
  <c r="R86" s="1"/>
  <c r="T86" s="1"/>
  <c r="G57"/>
  <c r="H57" s="1"/>
  <c r="J57" s="1"/>
  <c r="L57" s="1"/>
  <c r="N57" s="1"/>
  <c r="P57" s="1"/>
  <c r="R57" s="1"/>
  <c r="T57" s="1"/>
  <c r="G58"/>
  <c r="H58" s="1"/>
  <c r="J58" s="1"/>
  <c r="L58" s="1"/>
  <c r="N58" s="1"/>
  <c r="P58" s="1"/>
  <c r="R58" s="1"/>
  <c r="T58" s="1"/>
  <c r="G59"/>
  <c r="H59" s="1"/>
  <c r="J59" s="1"/>
  <c r="L59" s="1"/>
  <c r="N59" s="1"/>
  <c r="P59" s="1"/>
  <c r="R59" s="1"/>
  <c r="T59" s="1"/>
  <c r="G61"/>
  <c r="H61" s="1"/>
  <c r="J61" s="1"/>
  <c r="L61" s="1"/>
  <c r="N61" s="1"/>
  <c r="P61" s="1"/>
  <c r="R61" s="1"/>
  <c r="T61" s="1"/>
  <c r="G62"/>
  <c r="H62" s="1"/>
  <c r="J62" s="1"/>
  <c r="L62" s="1"/>
  <c r="N62" s="1"/>
  <c r="P62" s="1"/>
  <c r="R62" s="1"/>
  <c r="T62" s="1"/>
  <c r="M56"/>
  <c r="K56"/>
  <c r="J30"/>
  <c r="L30" s="1"/>
  <c r="N30" s="1"/>
  <c r="P30" s="1"/>
  <c r="R30" s="1"/>
  <c r="T30" s="1"/>
  <c r="J60" l="1"/>
  <c r="L60" s="1"/>
  <c r="N60" s="1"/>
  <c r="P60" s="1"/>
  <c r="R60" s="1"/>
  <c r="T60" s="1"/>
  <c r="J55"/>
  <c r="L55" s="1"/>
  <c r="N55" s="1"/>
  <c r="P55" s="1"/>
  <c r="R55" s="1"/>
  <c r="T55" s="1"/>
  <c r="J63"/>
  <c r="L63" s="1"/>
  <c r="N63" s="1"/>
  <c r="P63" s="1"/>
  <c r="R63" s="1"/>
  <c r="T63" s="1"/>
  <c r="F16"/>
  <c r="E96" l="1"/>
  <c r="E14" l="1"/>
  <c r="E19" s="1"/>
  <c r="F23"/>
  <c r="E23"/>
  <c r="T15" l="1"/>
  <c r="R15"/>
  <c r="E16"/>
  <c r="Q96"/>
  <c r="P88"/>
  <c r="R88" s="1"/>
  <c r="T88" s="1"/>
  <c r="P22"/>
  <c r="P15"/>
  <c r="O96"/>
  <c r="O88"/>
  <c r="Q88" s="1"/>
  <c r="S88" s="1"/>
  <c r="U88" s="1"/>
  <c r="N22"/>
  <c r="N15"/>
  <c r="M96"/>
  <c r="L22"/>
  <c r="L15"/>
  <c r="T22" l="1"/>
  <c r="T20"/>
  <c r="R22"/>
  <c r="R20"/>
  <c r="N20"/>
  <c r="P20"/>
  <c r="L20"/>
  <c r="D96" l="1"/>
  <c r="D22"/>
  <c r="D15"/>
  <c r="F96"/>
  <c r="D20" l="1"/>
  <c r="K96"/>
  <c r="J96"/>
  <c r="G96"/>
  <c r="F88"/>
  <c r="G88" s="1"/>
  <c r="C31"/>
  <c r="B31"/>
  <c r="J22"/>
  <c r="H22"/>
  <c r="F22"/>
  <c r="E20"/>
  <c r="J15"/>
  <c r="H15"/>
  <c r="G15"/>
  <c r="F15"/>
  <c r="E15"/>
  <c r="H20" l="1"/>
  <c r="E22"/>
  <c r="J20"/>
  <c r="F20"/>
  <c r="N96" l="1"/>
  <c r="L96"/>
  <c r="P96" l="1"/>
</calcChain>
</file>

<file path=xl/sharedStrings.xml><?xml version="1.0" encoding="utf-8"?>
<sst xmlns="http://schemas.openxmlformats.org/spreadsheetml/2006/main" count="228" uniqueCount="119">
  <si>
    <t>j5:j6</t>
  </si>
  <si>
    <t>№ стр.</t>
  </si>
  <si>
    <t>Единица измерения</t>
  </si>
  <si>
    <t>отчет</t>
  </si>
  <si>
    <t>оценка</t>
  </si>
  <si>
    <t>прогноз - 1 вариант</t>
  </si>
  <si>
    <t>прогноз - 2 вариант</t>
  </si>
  <si>
    <t>Cреднегодовая численность населения</t>
  </si>
  <si>
    <t>человек</t>
  </si>
  <si>
    <t>Среднегодовая численность тpудоспособного населения в трудоспособном возрасте</t>
  </si>
  <si>
    <t>Численность занятых всеми видами  экономической деятельности</t>
  </si>
  <si>
    <t>Численность занятых всеми видами  экономической деятельности к  численности постоянного населения</t>
  </si>
  <si>
    <t>%</t>
  </si>
  <si>
    <t>Численность занятых на предприятиях и организациях</t>
  </si>
  <si>
    <t xml:space="preserve">Лица в трудоспособном возрасте, не занятые каким-либо видом деятельности и учебой (среднегодовая) </t>
  </si>
  <si>
    <t>из них безработные</t>
  </si>
  <si>
    <t>Экономически активное население</t>
  </si>
  <si>
    <t>Уровень общей безработицы, в % к экономически активному населению</t>
  </si>
  <si>
    <t>официально признанные безработные</t>
  </si>
  <si>
    <t>Уровень официально зарегистрированной безработицы, в % к экономически активному населению</t>
  </si>
  <si>
    <t>Сpеднемесячная заpаботная плата pаботников предприятий и организаций</t>
  </si>
  <si>
    <t>руб.</t>
  </si>
  <si>
    <t xml:space="preserve"> Производство важнейших видов промышленной продукции</t>
  </si>
  <si>
    <t>Руды и концентраты золотосодержащие: по месту регистрации</t>
  </si>
  <si>
    <t>килограмм</t>
  </si>
  <si>
    <t>по месту добычи</t>
  </si>
  <si>
    <t>Концентраты оловянные</t>
  </si>
  <si>
    <t>тонн</t>
  </si>
  <si>
    <t>Концентраты сурьмяные (в пересчете на 30% содержание сурьмы)</t>
  </si>
  <si>
    <t>Материалы строительные нерудные</t>
  </si>
  <si>
    <t>тыс. куб. метров</t>
  </si>
  <si>
    <t>Алмазы природные несортированные</t>
  </si>
  <si>
    <t>Книги, брошюры, листовки печатные</t>
  </si>
  <si>
    <t>млн. штук</t>
  </si>
  <si>
    <t>Газеты (экземпляров, тираж условный /в 4-х полосном исчислении формата А2/)</t>
  </si>
  <si>
    <t>Журналы (листок-оттисков)</t>
  </si>
  <si>
    <t>млн.штук</t>
  </si>
  <si>
    <t>Алмазы природные обработанные, кроме технических, ненанизанные, неоправленные и незакреплённые</t>
  </si>
  <si>
    <t>тыс. долларов</t>
  </si>
  <si>
    <t>карат</t>
  </si>
  <si>
    <t>Ювелирные изделия в фактических ценах (без НДС и акциза)</t>
  </si>
  <si>
    <t>тыс. руб.</t>
  </si>
  <si>
    <t>Изделия народных художественных промыслов</t>
  </si>
  <si>
    <t>Изделия из камнесамоцветов</t>
  </si>
  <si>
    <t>Добыча каменного угля открытым способом</t>
  </si>
  <si>
    <t>тыс. тонн</t>
  </si>
  <si>
    <t>Добыча каменного угля подземным способом</t>
  </si>
  <si>
    <t>тыс.тонн</t>
  </si>
  <si>
    <t>Концентрат каменного угля</t>
  </si>
  <si>
    <t>Уголь бурый рядовой (лигнит)</t>
  </si>
  <si>
    <t>Нефть добытая</t>
  </si>
  <si>
    <t>Газ нефтяной попутный (газ горючий природный нефтяных месторождений)</t>
  </si>
  <si>
    <t>млн. куб. метров</t>
  </si>
  <si>
    <t>Газ горючий природный (газ естественный)</t>
  </si>
  <si>
    <t>Конденсат газовый нестабильный</t>
  </si>
  <si>
    <t>Конденсат газовый стабильный</t>
  </si>
  <si>
    <t>Электроэнергия - всего</t>
  </si>
  <si>
    <t>млн.квт.ч.</t>
  </si>
  <si>
    <t>Тепловая энергия - всего</t>
  </si>
  <si>
    <t>млн. кВт-часов</t>
  </si>
  <si>
    <t>Мясо и субпродукты пищевые убойных животных</t>
  </si>
  <si>
    <t>Мясо и субпродукты пищевые домашней птицы</t>
  </si>
  <si>
    <t>Изделия колбасные</t>
  </si>
  <si>
    <t>Полуфабрикаты мясные (мясосодержащие) охлажденные, подмороженные и замороженные</t>
  </si>
  <si>
    <t>Рыба и продукты рыбные переработанные и консервированные</t>
  </si>
  <si>
    <t>Цельномолочная продукция (в пересчете на молоко)</t>
  </si>
  <si>
    <t xml:space="preserve">Масло сливочное </t>
  </si>
  <si>
    <t>Мука из зерновых культур, овощных и других растительных культур; смеси из них</t>
  </si>
  <si>
    <t>Комбикорма</t>
  </si>
  <si>
    <t>Хлеб и хлебобулочные изделия</t>
  </si>
  <si>
    <t>Изделия макаронные без начинки, не подвергнутые тепловой обработке или не приготовленные каким-либо другим способом</t>
  </si>
  <si>
    <t>Алкогольная продукция -всего</t>
  </si>
  <si>
    <t>тыс.дкл</t>
  </si>
  <si>
    <t>Пиво, кроме отходов пивоварения</t>
  </si>
  <si>
    <t>тыс. дкл</t>
  </si>
  <si>
    <t>млн. руб.</t>
  </si>
  <si>
    <t xml:space="preserve">   в том числе    общественного сектора</t>
  </si>
  <si>
    <t xml:space="preserve">                          крестьянских хоз-в и родовых общин</t>
  </si>
  <si>
    <t xml:space="preserve">                          хозяйств населения</t>
  </si>
  <si>
    <t xml:space="preserve"> Численность сельскохозяйственных животных: </t>
  </si>
  <si>
    <t xml:space="preserve">       - КРС</t>
  </si>
  <si>
    <t>голов</t>
  </si>
  <si>
    <t xml:space="preserve">           - в том числе коров</t>
  </si>
  <si>
    <t xml:space="preserve">       - лошадей</t>
  </si>
  <si>
    <t xml:space="preserve">       - свиней</t>
  </si>
  <si>
    <t xml:space="preserve">       - оленей</t>
  </si>
  <si>
    <t xml:space="preserve">       - птиц</t>
  </si>
  <si>
    <t xml:space="preserve"> Объем производства сельскохозяйственной продукции:</t>
  </si>
  <si>
    <t xml:space="preserve">       - скота и птицы в живом весе</t>
  </si>
  <si>
    <t xml:space="preserve">       - молока</t>
  </si>
  <si>
    <t xml:space="preserve">       - яиц</t>
  </si>
  <si>
    <t>тыс.шт.</t>
  </si>
  <si>
    <t xml:space="preserve">       - рыбодобыча</t>
  </si>
  <si>
    <t xml:space="preserve">       - картофеля</t>
  </si>
  <si>
    <t xml:space="preserve">       - овощей</t>
  </si>
  <si>
    <t xml:space="preserve">       - зерна</t>
  </si>
  <si>
    <t>тыс.pуб.</t>
  </si>
  <si>
    <t xml:space="preserve">             в  ценах  предыдущего года</t>
  </si>
  <si>
    <t>Объем розничной торговли в действующих ценах</t>
  </si>
  <si>
    <t xml:space="preserve">             в сопоставимых ценах, в % к предыдущему году</t>
  </si>
  <si>
    <t xml:space="preserve">Производство потребительских товаров  в действующих ценах </t>
  </si>
  <si>
    <t>тыс.руб</t>
  </si>
  <si>
    <t>Налоговые доходы по всем уровням</t>
  </si>
  <si>
    <t>х</t>
  </si>
  <si>
    <t>Налоговые доходы местного бюджета</t>
  </si>
  <si>
    <t>Всего доходов по территории</t>
  </si>
  <si>
    <t>Всего доходов местного бюджета</t>
  </si>
  <si>
    <t>Расходы местного бюджета</t>
  </si>
  <si>
    <t xml:space="preserve"> % дотации в местном бюджете</t>
  </si>
  <si>
    <t>Инвестиции за счет всех источников</t>
  </si>
  <si>
    <t>Приложение № 1</t>
  </si>
  <si>
    <t>млн. $</t>
  </si>
  <si>
    <t xml:space="preserve">к постановлению </t>
  </si>
  <si>
    <t>Основные прогнозные показатели социально-экономического развития МО "Город Удачный" на 2022 год и плановый период 2023-2027 годы</t>
  </si>
  <si>
    <t>Объем отгруженных товаров собственного производства, выполненных работ и услуг собственными силами - обрабатывающие производства</t>
  </si>
  <si>
    <t>млн..pуб.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</si>
  <si>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</t>
  </si>
  <si>
    <t>Средства, передаваемые на безвозмездной и безвозвратных основах</t>
  </si>
  <si>
    <t>№ 631 от " 20 " октября 2021 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</si>
</sst>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9"/>
      <name val="Arial"/>
      <family val="2"/>
    </font>
    <font>
      <sz val="9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i/>
      <sz val="9"/>
      <color indexed="32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9"/>
      <color indexed="8"/>
      <name val="Arial Cyr"/>
      <charset val="1"/>
    </font>
    <font>
      <sz val="9"/>
      <color indexed="8"/>
      <name val="Arial Cyr"/>
      <charset val="204"/>
    </font>
    <font>
      <b/>
      <sz val="9"/>
      <color indexed="8"/>
      <name val="Arial Cyr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name val="Times New Roman CYR"/>
      <charset val="204"/>
    </font>
    <font>
      <sz val="9"/>
      <color indexed="8"/>
      <name val="Arial Cyr"/>
      <family val="2"/>
      <charset val="204"/>
    </font>
    <font>
      <sz val="10"/>
      <color rgb="FFFF0000"/>
      <name val="Arial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  <fill>
      <patternFill patternType="solid">
        <fgColor indexed="42"/>
        <bgColor indexed="4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rgb="FFF4F6F6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6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1" applyFont="1" applyFill="1" applyProtection="1"/>
    <xf numFmtId="0" fontId="1" fillId="0" borderId="0" xfId="1" applyAlignment="1" applyProtection="1">
      <alignment wrapText="1"/>
    </xf>
    <xf numFmtId="0" fontId="1" fillId="0" borderId="0" xfId="1" applyProtection="1"/>
    <xf numFmtId="0" fontId="4" fillId="0" borderId="0" xfId="1" applyFont="1" applyFill="1" applyAlignment="1" applyProtection="1">
      <alignment horizontal="left" vertical="top"/>
    </xf>
    <xf numFmtId="0" fontId="3" fillId="0" borderId="0" xfId="1" applyFont="1" applyFill="1" applyAlignment="1" applyProtection="1">
      <alignment horizontal="left" vertical="top"/>
    </xf>
    <xf numFmtId="0" fontId="5" fillId="0" borderId="0" xfId="1" applyFont="1" applyFill="1" applyAlignment="1" applyProtection="1">
      <alignment horizontal="center" vertical="top" wrapText="1"/>
      <protection hidden="1"/>
    </xf>
    <xf numFmtId="0" fontId="6" fillId="0" borderId="0" xfId="1" applyFont="1" applyFill="1" applyBorder="1" applyAlignment="1" applyProtection="1">
      <alignment horizontal="right" vertical="top"/>
    </xf>
    <xf numFmtId="0" fontId="6" fillId="0" borderId="0" xfId="1" applyFont="1" applyFill="1" applyBorder="1" applyAlignment="1" applyProtection="1">
      <alignment horizontal="right" vertical="top"/>
      <protection locked="0"/>
    </xf>
    <xf numFmtId="0" fontId="9" fillId="0" borderId="4" xfId="1" applyFont="1" applyFill="1" applyBorder="1" applyAlignment="1" applyProtection="1">
      <alignment horizontal="center" vertical="center" wrapText="1"/>
      <protection hidden="1"/>
    </xf>
    <xf numFmtId="0" fontId="9" fillId="0" borderId="5" xfId="1" applyFont="1" applyFill="1" applyBorder="1" applyAlignment="1" applyProtection="1">
      <alignment horizontal="center" vertical="center" wrapText="1"/>
      <protection hidden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2" borderId="16" xfId="1" applyFont="1" applyFill="1" applyBorder="1" applyAlignment="1" applyProtection="1">
      <alignment horizontal="center" vertical="center"/>
    </xf>
    <xf numFmtId="0" fontId="8" fillId="2" borderId="17" xfId="1" applyFont="1" applyFill="1" applyBorder="1" applyAlignment="1" applyProtection="1">
      <alignment horizontal="left" vertical="center" wrapText="1"/>
    </xf>
    <xf numFmtId="0" fontId="7" fillId="3" borderId="17" xfId="1" applyFont="1" applyFill="1" applyBorder="1" applyAlignment="1" applyProtection="1">
      <alignment horizontal="center" vertical="center" wrapText="1"/>
    </xf>
    <xf numFmtId="3" fontId="10" fillId="4" borderId="17" xfId="1" applyNumberFormat="1" applyFont="1" applyFill="1" applyBorder="1" applyAlignment="1" applyProtection="1"/>
    <xf numFmtId="4" fontId="10" fillId="4" borderId="18" xfId="1" applyNumberFormat="1" applyFont="1" applyFill="1" applyBorder="1" applyAlignment="1" applyProtection="1"/>
    <xf numFmtId="4" fontId="11" fillId="4" borderId="18" xfId="1" applyNumberFormat="1" applyFont="1" applyFill="1" applyBorder="1" applyAlignment="1" applyProtection="1"/>
    <xf numFmtId="0" fontId="7" fillId="0" borderId="19" xfId="1" applyFont="1" applyFill="1" applyBorder="1" applyAlignment="1" applyProtection="1">
      <alignment horizontal="center" vertical="center"/>
    </xf>
    <xf numFmtId="0" fontId="8" fillId="0" borderId="20" xfId="1" applyFont="1" applyFill="1" applyBorder="1" applyAlignment="1" applyProtection="1">
      <alignment horizontal="left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3" fontId="10" fillId="5" borderId="20" xfId="1" applyNumberFormat="1" applyFont="1" applyFill="1" applyBorder="1" applyAlignment="1" applyProtection="1"/>
    <xf numFmtId="4" fontId="10" fillId="5" borderId="20" xfId="1" applyNumberFormat="1" applyFont="1" applyFill="1" applyBorder="1" applyAlignment="1" applyProtection="1"/>
    <xf numFmtId="0" fontId="7" fillId="0" borderId="22" xfId="1" applyFont="1" applyFill="1" applyBorder="1" applyAlignment="1" applyProtection="1">
      <alignment horizontal="center" vertical="center"/>
    </xf>
    <xf numFmtId="0" fontId="8" fillId="0" borderId="23" xfId="1" applyFont="1" applyFill="1" applyBorder="1" applyAlignment="1" applyProtection="1">
      <alignment horizontal="left" vertical="center" wrapText="1"/>
    </xf>
    <xf numFmtId="0" fontId="7" fillId="0" borderId="23" xfId="1" applyFont="1" applyFill="1" applyBorder="1" applyAlignment="1" applyProtection="1">
      <alignment horizontal="center" vertical="center" wrapText="1"/>
    </xf>
    <xf numFmtId="0" fontId="7" fillId="2" borderId="25" xfId="1" applyFont="1" applyFill="1" applyBorder="1" applyAlignment="1" applyProtection="1">
      <alignment horizontal="center" vertical="center"/>
    </xf>
    <xf numFmtId="0" fontId="9" fillId="2" borderId="26" xfId="1" applyFont="1" applyFill="1" applyBorder="1" applyAlignment="1" applyProtection="1">
      <alignment horizontal="left" vertical="center" wrapText="1"/>
    </xf>
    <xf numFmtId="0" fontId="7" fillId="3" borderId="26" xfId="1" applyFont="1" applyFill="1" applyBorder="1" applyAlignment="1" applyProtection="1">
      <alignment horizontal="center" vertical="center" wrapText="1"/>
    </xf>
    <xf numFmtId="4" fontId="3" fillId="3" borderId="26" xfId="1" applyNumberFormat="1" applyFont="1" applyFill="1" applyBorder="1" applyAlignment="1" applyProtection="1"/>
    <xf numFmtId="0" fontId="3" fillId="6" borderId="20" xfId="1" applyFont="1" applyFill="1" applyBorder="1" applyAlignment="1">
      <alignment horizontal="left" vertical="center" wrapText="1"/>
    </xf>
    <xf numFmtId="0" fontId="3" fillId="6" borderId="20" xfId="1" applyFont="1" applyFill="1" applyBorder="1" applyAlignment="1">
      <alignment horizontal="center" vertical="center" wrapText="1"/>
    </xf>
    <xf numFmtId="164" fontId="3" fillId="6" borderId="20" xfId="1" applyNumberFormat="1" applyFont="1" applyFill="1" applyBorder="1" applyAlignment="1" applyProtection="1"/>
    <xf numFmtId="164" fontId="10" fillId="5" borderId="20" xfId="1" applyNumberFormat="1" applyFont="1" applyFill="1" applyBorder="1" applyAlignment="1" applyProtection="1"/>
    <xf numFmtId="164" fontId="11" fillId="5" borderId="20" xfId="1" applyNumberFormat="1" applyFont="1" applyFill="1" applyBorder="1" applyAlignment="1" applyProtection="1"/>
    <xf numFmtId="0" fontId="3" fillId="6" borderId="20" xfId="1" applyFont="1" applyFill="1" applyBorder="1" applyAlignment="1" applyProtection="1">
      <alignment horizontal="left" vertical="center" wrapText="1"/>
      <protection locked="0"/>
    </xf>
    <xf numFmtId="0" fontId="3" fillId="6" borderId="20" xfId="1" applyFont="1" applyFill="1" applyBorder="1" applyAlignment="1" applyProtection="1">
      <alignment horizontal="center" vertical="center" wrapText="1"/>
      <protection locked="0"/>
    </xf>
    <xf numFmtId="0" fontId="13" fillId="0" borderId="20" xfId="1" applyFont="1" applyFill="1" applyBorder="1" applyAlignment="1" applyProtection="1">
      <alignment horizontal="center" vertical="center" wrapText="1"/>
    </xf>
    <xf numFmtId="0" fontId="7" fillId="2" borderId="19" xfId="1" applyFont="1" applyFill="1" applyBorder="1" applyAlignment="1" applyProtection="1">
      <alignment horizontal="center" vertical="center"/>
    </xf>
    <xf numFmtId="0" fontId="7" fillId="2" borderId="20" xfId="1" applyFont="1" applyFill="1" applyBorder="1" applyAlignment="1" applyProtection="1">
      <alignment horizontal="left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4" fontId="10" fillId="7" borderId="20" xfId="1" applyNumberFormat="1" applyFont="1" applyFill="1" applyBorder="1" applyAlignment="1" applyProtection="1"/>
    <xf numFmtId="164" fontId="11" fillId="5" borderId="23" xfId="1" applyNumberFormat="1" applyFont="1" applyFill="1" applyBorder="1" applyAlignment="1" applyProtection="1"/>
    <xf numFmtId="0" fontId="7" fillId="0" borderId="16" xfId="1" applyFont="1" applyFill="1" applyBorder="1" applyAlignment="1" applyProtection="1">
      <alignment horizontal="center" vertical="center"/>
    </xf>
    <xf numFmtId="0" fontId="8" fillId="0" borderId="17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4" fontId="10" fillId="5" borderId="17" xfId="1" applyNumberFormat="1" applyFont="1" applyFill="1" applyBorder="1" applyAlignment="1" applyProtection="1"/>
    <xf numFmtId="3" fontId="11" fillId="5" borderId="20" xfId="1" applyNumberFormat="1" applyFont="1" applyFill="1" applyBorder="1" applyAlignment="1" applyProtection="1"/>
    <xf numFmtId="3" fontId="11" fillId="5" borderId="23" xfId="1" applyNumberFormat="1" applyFont="1" applyFill="1" applyBorder="1" applyAlignment="1" applyProtection="1"/>
    <xf numFmtId="0" fontId="15" fillId="0" borderId="20" xfId="1" applyFont="1" applyFill="1" applyBorder="1" applyAlignment="1" applyProtection="1">
      <alignment horizontal="left" vertical="center" wrapText="1"/>
    </xf>
    <xf numFmtId="3" fontId="14" fillId="0" borderId="0" xfId="1" applyNumberFormat="1" applyFont="1" applyProtection="1"/>
    <xf numFmtId="164" fontId="10" fillId="5" borderId="14" xfId="1" applyNumberFormat="1" applyFont="1" applyFill="1" applyBorder="1" applyAlignment="1" applyProtection="1"/>
    <xf numFmtId="3" fontId="10" fillId="0" borderId="20" xfId="1" applyNumberFormat="1" applyFont="1" applyFill="1" applyBorder="1" applyAlignment="1" applyProtection="1"/>
    <xf numFmtId="0" fontId="1" fillId="0" borderId="0" xfId="1" applyFill="1" applyProtection="1"/>
    <xf numFmtId="4" fontId="10" fillId="0" borderId="20" xfId="1" applyNumberFormat="1" applyFont="1" applyFill="1" applyBorder="1" applyAlignment="1" applyProtection="1"/>
    <xf numFmtId="2" fontId="12" fillId="0" borderId="24" xfId="0" applyNumberFormat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>
      <alignment horizontal="left" vertical="center" wrapText="1"/>
    </xf>
    <xf numFmtId="0" fontId="3" fillId="0" borderId="20" xfId="1" applyFont="1" applyFill="1" applyBorder="1" applyAlignment="1">
      <alignment horizontal="center" vertical="center" wrapText="1"/>
    </xf>
    <xf numFmtId="164" fontId="10" fillId="0" borderId="20" xfId="1" applyNumberFormat="1" applyFont="1" applyFill="1" applyBorder="1" applyAlignment="1" applyProtection="1"/>
    <xf numFmtId="0" fontId="1" fillId="5" borderId="17" xfId="1" applyFont="1" applyFill="1" applyBorder="1" applyAlignment="1" applyProtection="1">
      <alignment horizontal="right"/>
    </xf>
    <xf numFmtId="0" fontId="1" fillId="5" borderId="20" xfId="1" applyFont="1" applyFill="1" applyBorder="1" applyAlignment="1" applyProtection="1">
      <alignment horizontal="right"/>
    </xf>
    <xf numFmtId="4" fontId="3" fillId="3" borderId="29" xfId="1" applyNumberFormat="1" applyFont="1" applyFill="1" applyBorder="1" applyAlignment="1" applyProtection="1"/>
    <xf numFmtId="43" fontId="12" fillId="0" borderId="24" xfId="2" applyFont="1" applyFill="1" applyBorder="1" applyAlignment="1" applyProtection="1">
      <alignment horizontal="center" vertical="center" wrapText="1"/>
    </xf>
    <xf numFmtId="164" fontId="10" fillId="0" borderId="20" xfId="1" applyNumberFormat="1" applyFont="1" applyFill="1" applyBorder="1" applyAlignment="1" applyProtection="1">
      <alignment horizontal="right"/>
    </xf>
    <xf numFmtId="166" fontId="17" fillId="5" borderId="20" xfId="1" applyNumberFormat="1" applyFont="1" applyFill="1" applyBorder="1" applyAlignment="1" applyProtection="1"/>
    <xf numFmtId="4" fontId="17" fillId="0" borderId="20" xfId="1" applyNumberFormat="1" applyFont="1" applyFill="1" applyBorder="1" applyAlignment="1" applyProtection="1"/>
    <xf numFmtId="0" fontId="9" fillId="0" borderId="5" xfId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Protection="1"/>
    <xf numFmtId="0" fontId="7" fillId="5" borderId="27" xfId="1" applyFont="1" applyFill="1" applyBorder="1" applyAlignment="1" applyProtection="1">
      <alignment horizontal="center" vertical="center"/>
    </xf>
    <xf numFmtId="0" fontId="8" fillId="5" borderId="28" xfId="1" applyFont="1" applyFill="1" applyBorder="1" applyAlignment="1" applyProtection="1">
      <alignment horizontal="left" vertical="center" wrapText="1"/>
    </xf>
    <xf numFmtId="0" fontId="7" fillId="5" borderId="28" xfId="1" applyFont="1" applyFill="1" applyBorder="1" applyAlignment="1" applyProtection="1">
      <alignment horizontal="center" vertical="center" wrapText="1"/>
    </xf>
    <xf numFmtId="164" fontId="10" fillId="5" borderId="28" xfId="1" applyNumberFormat="1" applyFont="1" applyFill="1" applyBorder="1" applyAlignment="1" applyProtection="1"/>
    <xf numFmtId="0" fontId="1" fillId="5" borderId="0" xfId="1" applyFill="1" applyProtection="1"/>
    <xf numFmtId="0" fontId="18" fillId="0" borderId="0" xfId="0" applyFont="1"/>
    <xf numFmtId="3" fontId="10" fillId="8" borderId="20" xfId="1" applyNumberFormat="1" applyFont="1" applyFill="1" applyBorder="1" applyAlignment="1" applyProtection="1"/>
    <xf numFmtId="4" fontId="10" fillId="8" borderId="21" xfId="1" applyNumberFormat="1" applyFont="1" applyFill="1" applyBorder="1" applyAlignment="1" applyProtection="1"/>
    <xf numFmtId="4" fontId="11" fillId="8" borderId="21" xfId="1" applyNumberFormat="1" applyFont="1" applyFill="1" applyBorder="1" applyAlignment="1" applyProtection="1"/>
    <xf numFmtId="4" fontId="10" fillId="8" borderId="20" xfId="1" applyNumberFormat="1" applyFont="1" applyFill="1" applyBorder="1" applyAlignment="1" applyProtection="1"/>
    <xf numFmtId="43" fontId="12" fillId="8" borderId="24" xfId="2" applyFont="1" applyFill="1" applyBorder="1" applyAlignment="1" applyProtection="1">
      <alignment horizontal="center" vertical="center" wrapText="1"/>
    </xf>
    <xf numFmtId="164" fontId="10" fillId="8" borderId="20" xfId="1" applyNumberFormat="1" applyFont="1" applyFill="1" applyBorder="1" applyAlignment="1" applyProtection="1">
      <alignment horizontal="right"/>
    </xf>
    <xf numFmtId="164" fontId="10" fillId="8" borderId="20" xfId="1" applyNumberFormat="1" applyFont="1" applyFill="1" applyBorder="1" applyAlignment="1" applyProtection="1"/>
    <xf numFmtId="4" fontId="10" fillId="8" borderId="17" xfId="1" applyNumberFormat="1" applyFont="1" applyFill="1" applyBorder="1" applyAlignment="1" applyProtection="1"/>
    <xf numFmtId="0" fontId="19" fillId="9" borderId="31" xfId="0" applyFont="1" applyFill="1" applyBorder="1" applyAlignment="1">
      <alignment horizontal="left" vertical="center" wrapText="1"/>
    </xf>
    <xf numFmtId="4" fontId="10" fillId="5" borderId="33" xfId="1" applyNumberFormat="1" applyFont="1" applyFill="1" applyBorder="1" applyAlignment="1" applyProtection="1"/>
    <xf numFmtId="3" fontId="11" fillId="5" borderId="34" xfId="1" applyNumberFormat="1" applyFont="1" applyFill="1" applyBorder="1" applyAlignment="1" applyProtection="1"/>
    <xf numFmtId="4" fontId="10" fillId="8" borderId="35" xfId="1" applyNumberFormat="1" applyFont="1" applyFill="1" applyBorder="1" applyAlignment="1" applyProtection="1"/>
    <xf numFmtId="3" fontId="11" fillId="8" borderId="36" xfId="1" applyNumberFormat="1" applyFont="1" applyFill="1" applyBorder="1" applyAlignment="1" applyProtection="1"/>
    <xf numFmtId="164" fontId="10" fillId="8" borderId="36" xfId="1" applyNumberFormat="1" applyFont="1" applyFill="1" applyBorder="1" applyAlignment="1" applyProtection="1"/>
    <xf numFmtId="164" fontId="11" fillId="5" borderId="37" xfId="1" applyNumberFormat="1" applyFont="1" applyFill="1" applyBorder="1" applyAlignment="1" applyProtection="1"/>
    <xf numFmtId="4" fontId="10" fillId="8" borderId="38" xfId="1" applyNumberFormat="1" applyFont="1" applyFill="1" applyBorder="1" applyAlignment="1" applyProtection="1"/>
    <xf numFmtId="164" fontId="10" fillId="8" borderId="32" xfId="1" applyNumberFormat="1" applyFont="1" applyFill="1" applyBorder="1" applyAlignment="1" applyProtection="1"/>
    <xf numFmtId="164" fontId="11" fillId="8" borderId="20" xfId="1" applyNumberFormat="1" applyFont="1" applyFill="1" applyBorder="1" applyAlignment="1" applyProtection="1"/>
    <xf numFmtId="0" fontId="1" fillId="8" borderId="17" xfId="1" applyFont="1" applyFill="1" applyBorder="1" applyAlignment="1" applyProtection="1">
      <alignment horizontal="right"/>
    </xf>
    <xf numFmtId="0" fontId="1" fillId="8" borderId="20" xfId="1" applyFont="1" applyFill="1" applyBorder="1" applyAlignment="1" applyProtection="1">
      <alignment horizontal="right"/>
    </xf>
    <xf numFmtId="3" fontId="11" fillId="8" borderId="39" xfId="1" applyNumberFormat="1" applyFont="1" applyFill="1" applyBorder="1" applyAlignment="1" applyProtection="1"/>
    <xf numFmtId="4" fontId="10" fillId="8" borderId="40" xfId="1" applyNumberFormat="1" applyFont="1" applyFill="1" applyBorder="1" applyAlignment="1" applyProtection="1"/>
    <xf numFmtId="4" fontId="10" fillId="8" borderId="41" xfId="1" applyNumberFormat="1" applyFont="1" applyFill="1" applyBorder="1" applyAlignment="1" applyProtection="1"/>
    <xf numFmtId="165" fontId="10" fillId="8" borderId="20" xfId="1" applyNumberFormat="1" applyFont="1" applyFill="1" applyBorder="1" applyAlignment="1" applyProtection="1"/>
    <xf numFmtId="0" fontId="9" fillId="0" borderId="5" xfId="1" applyFont="1" applyFill="1" applyBorder="1" applyAlignment="1" applyProtection="1">
      <alignment horizontal="center" vertical="center" wrapText="1"/>
      <protection hidden="1"/>
    </xf>
    <xf numFmtId="0" fontId="9" fillId="0" borderId="6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right" vertical="top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9" fillId="0" borderId="30" xfId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2;&#1077;&#1090;%20&#1087;&#1086;&#1089;&#1077;&#1083;&#1077;&#1085;&#1080;&#1081;_16.08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6;&#1054;&#1043;&#1053;&#1054;&#1047;%20&#1085;&#1072;%202017%20&#1075;&#1086;&#1076;/&#1052;&#1040;&#1050;&#1045;&#1058;&#1067;/&#1052;&#1040;&#1050;&#1045;&#1058;_&#1058;&#1072;&#1073;&#1083;&#1080;&#1094;&#1072;%201_&#1087;&#1086;&#1089;&#1077;&#1083;&#1077;&#1085;&#1080;&#1103;%20&#1086;&#1090;%2013.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-1 (свод) 2017"/>
      <sheetName val="3-1 (свод) 2018"/>
      <sheetName val="3-1 (свод) 2019"/>
      <sheetName val="3-1 (свод)2020"/>
      <sheetName val="3-1 (свод) 2020"/>
      <sheetName val="3-1 (свод) 2021"/>
      <sheetName val="3-1 (свод)2021"/>
      <sheetName val="8 (свод)2017"/>
      <sheetName val="8 (свод)2018"/>
      <sheetName val="8 (свод)2019(1в)"/>
      <sheetName val="8 (свод)2019(2в)"/>
      <sheetName val="8 (свод)2020(1в)"/>
      <sheetName val="8 (свод)2020(2в)"/>
      <sheetName val="8 (свод)2021(1в)"/>
      <sheetName val="8 (свод)2021(2в)"/>
      <sheetName val="8 (свод) 2020 (1)"/>
      <sheetName val="8 (свод) 2020 (2)"/>
      <sheetName val="8 (свод) 2021 (1)"/>
      <sheetName val="8 (свод) 2021 (2)"/>
      <sheetName val="3-1 (МО)"/>
      <sheetName val="6 (МО)"/>
      <sheetName val="8 (МО)"/>
      <sheetName val="3-1 (адм центр)"/>
      <sheetName val="6 (адм центр)"/>
      <sheetName val="8 (адм центр)"/>
      <sheetName val="3-1 (2)"/>
      <sheetName val="6 (2)"/>
      <sheetName val="8 (2)"/>
      <sheetName val="3-1 (3)"/>
      <sheetName val="6 (3)"/>
      <sheetName val="8 (3)"/>
      <sheetName val="3-1 (4)"/>
      <sheetName val="6 (4)"/>
      <sheetName val="8 (4)"/>
      <sheetName val="3-1 (5)"/>
      <sheetName val="6 (5)"/>
      <sheetName val="8 (5)"/>
      <sheetName val="3-1 (6)"/>
      <sheetName val="6 (6)"/>
      <sheetName val="8 (6)"/>
      <sheetName val="3-1 (7)"/>
      <sheetName val="6 (7)"/>
      <sheetName val="8 (7)"/>
      <sheetName val="3-1 (8)"/>
      <sheetName val="6 (8)"/>
      <sheetName val="8 (8)"/>
      <sheetName val="3-1 (9)"/>
      <sheetName val="6 (9)"/>
      <sheetName val="8 (9)"/>
      <sheetName val="3-1 (10)"/>
      <sheetName val="6 (10)"/>
      <sheetName val="8 (10)"/>
      <sheetName val="3-1 (11)"/>
      <sheetName val="6 (11)"/>
      <sheetName val="8 (11)"/>
      <sheetName val="3-1 (12)"/>
      <sheetName val="6 (12)"/>
      <sheetName val="8 (12)"/>
      <sheetName val="3-1 (13)"/>
      <sheetName val="6 (13)"/>
      <sheetName val="8 (13)"/>
      <sheetName val="3-1 (14)"/>
      <sheetName val="6 (14)"/>
      <sheetName val="8 (14)"/>
      <sheetName val="3-1 (15)"/>
      <sheetName val="6 (15)"/>
      <sheetName val="8 (15)"/>
      <sheetName val="3-1 (16)"/>
      <sheetName val="6 (16)"/>
      <sheetName val="8 (16)"/>
      <sheetName val="3-1 (17)"/>
      <sheetName val="6 (17)"/>
      <sheetName val="8 (17)"/>
      <sheetName val="3-1 (18)"/>
      <sheetName val="6 (18)"/>
      <sheetName val="8 (18)"/>
      <sheetName val="3-1 (19)"/>
      <sheetName val="6 (19)"/>
      <sheetName val="8 (19)"/>
      <sheetName val="3-1 (20)"/>
      <sheetName val="6 (20)"/>
      <sheetName val="8 (20)"/>
      <sheetName val="3-1 (21)"/>
      <sheetName val="6 (21)"/>
      <sheetName val="8 (21)"/>
      <sheetName val="3-1 (22)"/>
      <sheetName val="6 (22)"/>
      <sheetName val="8 (22)"/>
      <sheetName val="3-1 (23)"/>
      <sheetName val="6 (23)"/>
      <sheetName val="8 (23)"/>
      <sheetName val="3-1 (24)"/>
      <sheetName val="6 (24)"/>
      <sheetName val="8 (24)"/>
      <sheetName val="3-1 (25)"/>
      <sheetName val="6 (25)"/>
      <sheetName val="8 (25)"/>
      <sheetName val="3-1 (26)"/>
      <sheetName val="6 (26)"/>
      <sheetName val="8 (26)"/>
      <sheetName val="3-1 (27)"/>
      <sheetName val="6 (27)"/>
      <sheetName val="8 (27)"/>
      <sheetName val="3-1 (28)"/>
      <sheetName val="6 (28)"/>
      <sheetName val="8 (28)"/>
      <sheetName val="3-1 (29)"/>
      <sheetName val="6 (29)"/>
      <sheetName val="8 (29)"/>
      <sheetName val="3-1 (30)"/>
      <sheetName val="6 (30)"/>
      <sheetName val="8 (30)"/>
      <sheetName val="3-1 (31)"/>
      <sheetName val="6 (31)"/>
      <sheetName val="8 (3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6">
          <cell r="D6">
            <v>6090.9</v>
          </cell>
          <cell r="E6">
            <v>6225.4000000000015</v>
          </cell>
        </row>
        <row r="135">
          <cell r="D135">
            <v>90.2</v>
          </cell>
          <cell r="E135">
            <v>89.6</v>
          </cell>
        </row>
      </sheetData>
      <sheetData sheetId="27" refreshError="1">
        <row r="6">
          <cell r="D6">
            <v>112602.01249646318</v>
          </cell>
          <cell r="E6">
            <v>116229.5536003235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ирнинский (2)"/>
      <sheetName val="Дефляторы (25.06.2015)"/>
      <sheetName val="Дефляторы (20.06.2016)"/>
      <sheetName val="Мирнинский"/>
      <sheetName val="Мирный"/>
      <sheetName val="Удачный"/>
      <sheetName val="Айхал"/>
      <sheetName val="Алмазный"/>
      <sheetName val="Светлый"/>
      <sheetName val="БН"/>
      <sheetName val="Чернышевский"/>
      <sheetName val="СНЭН"/>
      <sheetName val="ЧН"/>
      <sheetName val="отгрузка"/>
      <sheetName val="розн.оборот"/>
      <sheetName val="платные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26">
          <cell r="B26" t="str">
            <v>Алмазы природные несортированные</v>
          </cell>
          <cell r="C26" t="str">
            <v>т.карат</v>
          </cell>
        </row>
        <row r="84">
          <cell r="E84">
            <v>429511.1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zoomScaleNormal="100" workbookViewId="0">
      <selection activeCell="T7" sqref="T7"/>
    </sheetView>
  </sheetViews>
  <sheetFormatPr defaultRowHeight="12.75"/>
  <cols>
    <col min="1" max="1" width="4" style="3" customWidth="1"/>
    <col min="2" max="2" width="59.140625" style="2" customWidth="1"/>
    <col min="3" max="3" width="11.7109375" style="3" customWidth="1"/>
    <col min="4" max="4" width="13" style="3" hidden="1" customWidth="1"/>
    <col min="5" max="6" width="11.7109375" style="3" hidden="1" customWidth="1"/>
    <col min="7" max="7" width="11.5703125" style="3" customWidth="1"/>
    <col min="8" max="8" width="12" style="3" customWidth="1"/>
    <col min="9" max="9" width="11.7109375" style="3" hidden="1" customWidth="1"/>
    <col min="10" max="10" width="12.42578125" style="3" customWidth="1"/>
    <col min="11" max="11" width="11.140625" style="3" customWidth="1"/>
    <col min="12" max="12" width="12" style="3" customWidth="1"/>
    <col min="13" max="14" width="11.42578125" style="3" customWidth="1"/>
    <col min="15" max="15" width="12" style="3" customWidth="1"/>
    <col min="16" max="16" width="11.5703125" style="3" customWidth="1"/>
    <col min="17" max="17" width="11.140625" style="3" customWidth="1"/>
    <col min="18" max="18" width="12.140625" style="3" customWidth="1"/>
    <col min="19" max="19" width="11" style="3" customWidth="1"/>
    <col min="20" max="20" width="12.42578125" style="3" customWidth="1"/>
    <col min="21" max="21" width="11.42578125" style="3" customWidth="1"/>
    <col min="22" max="252" width="9.140625" style="3"/>
    <col min="253" max="253" width="4" style="3" customWidth="1"/>
    <col min="254" max="254" width="59.140625" style="3" customWidth="1"/>
    <col min="255" max="257" width="11.7109375" style="3" customWidth="1"/>
    <col min="258" max="267" width="10.7109375" style="3" customWidth="1"/>
    <col min="268" max="277" width="8.85546875" style="3" customWidth="1"/>
    <col min="278" max="508" width="9.140625" style="3"/>
    <col min="509" max="509" width="4" style="3" customWidth="1"/>
    <col min="510" max="510" width="59.140625" style="3" customWidth="1"/>
    <col min="511" max="513" width="11.7109375" style="3" customWidth="1"/>
    <col min="514" max="523" width="10.7109375" style="3" customWidth="1"/>
    <col min="524" max="533" width="8.85546875" style="3" customWidth="1"/>
    <col min="534" max="764" width="9.140625" style="3"/>
    <col min="765" max="765" width="4" style="3" customWidth="1"/>
    <col min="766" max="766" width="59.140625" style="3" customWidth="1"/>
    <col min="767" max="769" width="11.7109375" style="3" customWidth="1"/>
    <col min="770" max="779" width="10.7109375" style="3" customWidth="1"/>
    <col min="780" max="789" width="8.85546875" style="3" customWidth="1"/>
    <col min="790" max="1020" width="9.140625" style="3"/>
    <col min="1021" max="1021" width="4" style="3" customWidth="1"/>
    <col min="1022" max="1022" width="59.140625" style="3" customWidth="1"/>
    <col min="1023" max="1025" width="11.7109375" style="3" customWidth="1"/>
    <col min="1026" max="1035" width="10.7109375" style="3" customWidth="1"/>
    <col min="1036" max="1045" width="8.85546875" style="3" customWidth="1"/>
    <col min="1046" max="1276" width="9.140625" style="3"/>
    <col min="1277" max="1277" width="4" style="3" customWidth="1"/>
    <col min="1278" max="1278" width="59.140625" style="3" customWidth="1"/>
    <col min="1279" max="1281" width="11.7109375" style="3" customWidth="1"/>
    <col min="1282" max="1291" width="10.7109375" style="3" customWidth="1"/>
    <col min="1292" max="1301" width="8.85546875" style="3" customWidth="1"/>
    <col min="1302" max="1532" width="9.140625" style="3"/>
    <col min="1533" max="1533" width="4" style="3" customWidth="1"/>
    <col min="1534" max="1534" width="59.140625" style="3" customWidth="1"/>
    <col min="1535" max="1537" width="11.7109375" style="3" customWidth="1"/>
    <col min="1538" max="1547" width="10.7109375" style="3" customWidth="1"/>
    <col min="1548" max="1557" width="8.85546875" style="3" customWidth="1"/>
    <col min="1558" max="1788" width="9.140625" style="3"/>
    <col min="1789" max="1789" width="4" style="3" customWidth="1"/>
    <col min="1790" max="1790" width="59.140625" style="3" customWidth="1"/>
    <col min="1791" max="1793" width="11.7109375" style="3" customWidth="1"/>
    <col min="1794" max="1803" width="10.7109375" style="3" customWidth="1"/>
    <col min="1804" max="1813" width="8.85546875" style="3" customWidth="1"/>
    <col min="1814" max="2044" width="9.140625" style="3"/>
    <col min="2045" max="2045" width="4" style="3" customWidth="1"/>
    <col min="2046" max="2046" width="59.140625" style="3" customWidth="1"/>
    <col min="2047" max="2049" width="11.7109375" style="3" customWidth="1"/>
    <col min="2050" max="2059" width="10.7109375" style="3" customWidth="1"/>
    <col min="2060" max="2069" width="8.85546875" style="3" customWidth="1"/>
    <col min="2070" max="2300" width="9.140625" style="3"/>
    <col min="2301" max="2301" width="4" style="3" customWidth="1"/>
    <col min="2302" max="2302" width="59.140625" style="3" customWidth="1"/>
    <col min="2303" max="2305" width="11.7109375" style="3" customWidth="1"/>
    <col min="2306" max="2315" width="10.7109375" style="3" customWidth="1"/>
    <col min="2316" max="2325" width="8.85546875" style="3" customWidth="1"/>
    <col min="2326" max="2556" width="9.140625" style="3"/>
    <col min="2557" max="2557" width="4" style="3" customWidth="1"/>
    <col min="2558" max="2558" width="59.140625" style="3" customWidth="1"/>
    <col min="2559" max="2561" width="11.7109375" style="3" customWidth="1"/>
    <col min="2562" max="2571" width="10.7109375" style="3" customWidth="1"/>
    <col min="2572" max="2581" width="8.85546875" style="3" customWidth="1"/>
    <col min="2582" max="2812" width="9.140625" style="3"/>
    <col min="2813" max="2813" width="4" style="3" customWidth="1"/>
    <col min="2814" max="2814" width="59.140625" style="3" customWidth="1"/>
    <col min="2815" max="2817" width="11.7109375" style="3" customWidth="1"/>
    <col min="2818" max="2827" width="10.7109375" style="3" customWidth="1"/>
    <col min="2828" max="2837" width="8.85546875" style="3" customWidth="1"/>
    <col min="2838" max="3068" width="9.140625" style="3"/>
    <col min="3069" max="3069" width="4" style="3" customWidth="1"/>
    <col min="3070" max="3070" width="59.140625" style="3" customWidth="1"/>
    <col min="3071" max="3073" width="11.7109375" style="3" customWidth="1"/>
    <col min="3074" max="3083" width="10.7109375" style="3" customWidth="1"/>
    <col min="3084" max="3093" width="8.85546875" style="3" customWidth="1"/>
    <col min="3094" max="3324" width="9.140625" style="3"/>
    <col min="3325" max="3325" width="4" style="3" customWidth="1"/>
    <col min="3326" max="3326" width="59.140625" style="3" customWidth="1"/>
    <col min="3327" max="3329" width="11.7109375" style="3" customWidth="1"/>
    <col min="3330" max="3339" width="10.7109375" style="3" customWidth="1"/>
    <col min="3340" max="3349" width="8.85546875" style="3" customWidth="1"/>
    <col min="3350" max="3580" width="9.140625" style="3"/>
    <col min="3581" max="3581" width="4" style="3" customWidth="1"/>
    <col min="3582" max="3582" width="59.140625" style="3" customWidth="1"/>
    <col min="3583" max="3585" width="11.7109375" style="3" customWidth="1"/>
    <col min="3586" max="3595" width="10.7109375" style="3" customWidth="1"/>
    <col min="3596" max="3605" width="8.85546875" style="3" customWidth="1"/>
    <col min="3606" max="3836" width="9.140625" style="3"/>
    <col min="3837" max="3837" width="4" style="3" customWidth="1"/>
    <col min="3838" max="3838" width="59.140625" style="3" customWidth="1"/>
    <col min="3839" max="3841" width="11.7109375" style="3" customWidth="1"/>
    <col min="3842" max="3851" width="10.7109375" style="3" customWidth="1"/>
    <col min="3852" max="3861" width="8.85546875" style="3" customWidth="1"/>
    <col min="3862" max="4092" width="9.140625" style="3"/>
    <col min="4093" max="4093" width="4" style="3" customWidth="1"/>
    <col min="4094" max="4094" width="59.140625" style="3" customWidth="1"/>
    <col min="4095" max="4097" width="11.7109375" style="3" customWidth="1"/>
    <col min="4098" max="4107" width="10.7109375" style="3" customWidth="1"/>
    <col min="4108" max="4117" width="8.85546875" style="3" customWidth="1"/>
    <col min="4118" max="4348" width="9.140625" style="3"/>
    <col min="4349" max="4349" width="4" style="3" customWidth="1"/>
    <col min="4350" max="4350" width="59.140625" style="3" customWidth="1"/>
    <col min="4351" max="4353" width="11.7109375" style="3" customWidth="1"/>
    <col min="4354" max="4363" width="10.7109375" style="3" customWidth="1"/>
    <col min="4364" max="4373" width="8.85546875" style="3" customWidth="1"/>
    <col min="4374" max="4604" width="9.140625" style="3"/>
    <col min="4605" max="4605" width="4" style="3" customWidth="1"/>
    <col min="4606" max="4606" width="59.140625" style="3" customWidth="1"/>
    <col min="4607" max="4609" width="11.7109375" style="3" customWidth="1"/>
    <col min="4610" max="4619" width="10.7109375" style="3" customWidth="1"/>
    <col min="4620" max="4629" width="8.85546875" style="3" customWidth="1"/>
    <col min="4630" max="4860" width="9.140625" style="3"/>
    <col min="4861" max="4861" width="4" style="3" customWidth="1"/>
    <col min="4862" max="4862" width="59.140625" style="3" customWidth="1"/>
    <col min="4863" max="4865" width="11.7109375" style="3" customWidth="1"/>
    <col min="4866" max="4875" width="10.7109375" style="3" customWidth="1"/>
    <col min="4876" max="4885" width="8.85546875" style="3" customWidth="1"/>
    <col min="4886" max="5116" width="9.140625" style="3"/>
    <col min="5117" max="5117" width="4" style="3" customWidth="1"/>
    <col min="5118" max="5118" width="59.140625" style="3" customWidth="1"/>
    <col min="5119" max="5121" width="11.7109375" style="3" customWidth="1"/>
    <col min="5122" max="5131" width="10.7109375" style="3" customWidth="1"/>
    <col min="5132" max="5141" width="8.85546875" style="3" customWidth="1"/>
    <col min="5142" max="5372" width="9.140625" style="3"/>
    <col min="5373" max="5373" width="4" style="3" customWidth="1"/>
    <col min="5374" max="5374" width="59.140625" style="3" customWidth="1"/>
    <col min="5375" max="5377" width="11.7109375" style="3" customWidth="1"/>
    <col min="5378" max="5387" width="10.7109375" style="3" customWidth="1"/>
    <col min="5388" max="5397" width="8.85546875" style="3" customWidth="1"/>
    <col min="5398" max="5628" width="9.140625" style="3"/>
    <col min="5629" max="5629" width="4" style="3" customWidth="1"/>
    <col min="5630" max="5630" width="59.140625" style="3" customWidth="1"/>
    <col min="5631" max="5633" width="11.7109375" style="3" customWidth="1"/>
    <col min="5634" max="5643" width="10.7109375" style="3" customWidth="1"/>
    <col min="5644" max="5653" width="8.85546875" style="3" customWidth="1"/>
    <col min="5654" max="5884" width="9.140625" style="3"/>
    <col min="5885" max="5885" width="4" style="3" customWidth="1"/>
    <col min="5886" max="5886" width="59.140625" style="3" customWidth="1"/>
    <col min="5887" max="5889" width="11.7109375" style="3" customWidth="1"/>
    <col min="5890" max="5899" width="10.7109375" style="3" customWidth="1"/>
    <col min="5900" max="5909" width="8.85546875" style="3" customWidth="1"/>
    <col min="5910" max="6140" width="9.140625" style="3"/>
    <col min="6141" max="6141" width="4" style="3" customWidth="1"/>
    <col min="6142" max="6142" width="59.140625" style="3" customWidth="1"/>
    <col min="6143" max="6145" width="11.7109375" style="3" customWidth="1"/>
    <col min="6146" max="6155" width="10.7109375" style="3" customWidth="1"/>
    <col min="6156" max="6165" width="8.85546875" style="3" customWidth="1"/>
    <col min="6166" max="6396" width="9.140625" style="3"/>
    <col min="6397" max="6397" width="4" style="3" customWidth="1"/>
    <col min="6398" max="6398" width="59.140625" style="3" customWidth="1"/>
    <col min="6399" max="6401" width="11.7109375" style="3" customWidth="1"/>
    <col min="6402" max="6411" width="10.7109375" style="3" customWidth="1"/>
    <col min="6412" max="6421" width="8.85546875" style="3" customWidth="1"/>
    <col min="6422" max="6652" width="9.140625" style="3"/>
    <col min="6653" max="6653" width="4" style="3" customWidth="1"/>
    <col min="6654" max="6654" width="59.140625" style="3" customWidth="1"/>
    <col min="6655" max="6657" width="11.7109375" style="3" customWidth="1"/>
    <col min="6658" max="6667" width="10.7109375" style="3" customWidth="1"/>
    <col min="6668" max="6677" width="8.85546875" style="3" customWidth="1"/>
    <col min="6678" max="6908" width="9.140625" style="3"/>
    <col min="6909" max="6909" width="4" style="3" customWidth="1"/>
    <col min="6910" max="6910" width="59.140625" style="3" customWidth="1"/>
    <col min="6911" max="6913" width="11.7109375" style="3" customWidth="1"/>
    <col min="6914" max="6923" width="10.7109375" style="3" customWidth="1"/>
    <col min="6924" max="6933" width="8.85546875" style="3" customWidth="1"/>
    <col min="6934" max="7164" width="9.140625" style="3"/>
    <col min="7165" max="7165" width="4" style="3" customWidth="1"/>
    <col min="7166" max="7166" width="59.140625" style="3" customWidth="1"/>
    <col min="7167" max="7169" width="11.7109375" style="3" customWidth="1"/>
    <col min="7170" max="7179" width="10.7109375" style="3" customWidth="1"/>
    <col min="7180" max="7189" width="8.85546875" style="3" customWidth="1"/>
    <col min="7190" max="7420" width="9.140625" style="3"/>
    <col min="7421" max="7421" width="4" style="3" customWidth="1"/>
    <col min="7422" max="7422" width="59.140625" style="3" customWidth="1"/>
    <col min="7423" max="7425" width="11.7109375" style="3" customWidth="1"/>
    <col min="7426" max="7435" width="10.7109375" style="3" customWidth="1"/>
    <col min="7436" max="7445" width="8.85546875" style="3" customWidth="1"/>
    <col min="7446" max="7676" width="9.140625" style="3"/>
    <col min="7677" max="7677" width="4" style="3" customWidth="1"/>
    <col min="7678" max="7678" width="59.140625" style="3" customWidth="1"/>
    <col min="7679" max="7681" width="11.7109375" style="3" customWidth="1"/>
    <col min="7682" max="7691" width="10.7109375" style="3" customWidth="1"/>
    <col min="7692" max="7701" width="8.85546875" style="3" customWidth="1"/>
    <col min="7702" max="7932" width="9.140625" style="3"/>
    <col min="7933" max="7933" width="4" style="3" customWidth="1"/>
    <col min="7934" max="7934" width="59.140625" style="3" customWidth="1"/>
    <col min="7935" max="7937" width="11.7109375" style="3" customWidth="1"/>
    <col min="7938" max="7947" width="10.7109375" style="3" customWidth="1"/>
    <col min="7948" max="7957" width="8.85546875" style="3" customWidth="1"/>
    <col min="7958" max="8188" width="9.140625" style="3"/>
    <col min="8189" max="8189" width="4" style="3" customWidth="1"/>
    <col min="8190" max="8190" width="59.140625" style="3" customWidth="1"/>
    <col min="8191" max="8193" width="11.7109375" style="3" customWidth="1"/>
    <col min="8194" max="8203" width="10.7109375" style="3" customWidth="1"/>
    <col min="8204" max="8213" width="8.85546875" style="3" customWidth="1"/>
    <col min="8214" max="8444" width="9.140625" style="3"/>
    <col min="8445" max="8445" width="4" style="3" customWidth="1"/>
    <col min="8446" max="8446" width="59.140625" style="3" customWidth="1"/>
    <col min="8447" max="8449" width="11.7109375" style="3" customWidth="1"/>
    <col min="8450" max="8459" width="10.7109375" style="3" customWidth="1"/>
    <col min="8460" max="8469" width="8.85546875" style="3" customWidth="1"/>
    <col min="8470" max="8700" width="9.140625" style="3"/>
    <col min="8701" max="8701" width="4" style="3" customWidth="1"/>
    <col min="8702" max="8702" width="59.140625" style="3" customWidth="1"/>
    <col min="8703" max="8705" width="11.7109375" style="3" customWidth="1"/>
    <col min="8706" max="8715" width="10.7109375" style="3" customWidth="1"/>
    <col min="8716" max="8725" width="8.85546875" style="3" customWidth="1"/>
    <col min="8726" max="8956" width="9.140625" style="3"/>
    <col min="8957" max="8957" width="4" style="3" customWidth="1"/>
    <col min="8958" max="8958" width="59.140625" style="3" customWidth="1"/>
    <col min="8959" max="8961" width="11.7109375" style="3" customWidth="1"/>
    <col min="8962" max="8971" width="10.7109375" style="3" customWidth="1"/>
    <col min="8972" max="8981" width="8.85546875" style="3" customWidth="1"/>
    <col min="8982" max="9212" width="9.140625" style="3"/>
    <col min="9213" max="9213" width="4" style="3" customWidth="1"/>
    <col min="9214" max="9214" width="59.140625" style="3" customWidth="1"/>
    <col min="9215" max="9217" width="11.7109375" style="3" customWidth="1"/>
    <col min="9218" max="9227" width="10.7109375" style="3" customWidth="1"/>
    <col min="9228" max="9237" width="8.85546875" style="3" customWidth="1"/>
    <col min="9238" max="9468" width="9.140625" style="3"/>
    <col min="9469" max="9469" width="4" style="3" customWidth="1"/>
    <col min="9470" max="9470" width="59.140625" style="3" customWidth="1"/>
    <col min="9471" max="9473" width="11.7109375" style="3" customWidth="1"/>
    <col min="9474" max="9483" width="10.7109375" style="3" customWidth="1"/>
    <col min="9484" max="9493" width="8.85546875" style="3" customWidth="1"/>
    <col min="9494" max="9724" width="9.140625" style="3"/>
    <col min="9725" max="9725" width="4" style="3" customWidth="1"/>
    <col min="9726" max="9726" width="59.140625" style="3" customWidth="1"/>
    <col min="9727" max="9729" width="11.7109375" style="3" customWidth="1"/>
    <col min="9730" max="9739" width="10.7109375" style="3" customWidth="1"/>
    <col min="9740" max="9749" width="8.85546875" style="3" customWidth="1"/>
    <col min="9750" max="9980" width="9.140625" style="3"/>
    <col min="9981" max="9981" width="4" style="3" customWidth="1"/>
    <col min="9982" max="9982" width="59.140625" style="3" customWidth="1"/>
    <col min="9983" max="9985" width="11.7109375" style="3" customWidth="1"/>
    <col min="9986" max="9995" width="10.7109375" style="3" customWidth="1"/>
    <col min="9996" max="10005" width="8.85546875" style="3" customWidth="1"/>
    <col min="10006" max="10236" width="9.140625" style="3"/>
    <col min="10237" max="10237" width="4" style="3" customWidth="1"/>
    <col min="10238" max="10238" width="59.140625" style="3" customWidth="1"/>
    <col min="10239" max="10241" width="11.7109375" style="3" customWidth="1"/>
    <col min="10242" max="10251" width="10.7109375" style="3" customWidth="1"/>
    <col min="10252" max="10261" width="8.85546875" style="3" customWidth="1"/>
    <col min="10262" max="10492" width="9.140625" style="3"/>
    <col min="10493" max="10493" width="4" style="3" customWidth="1"/>
    <col min="10494" max="10494" width="59.140625" style="3" customWidth="1"/>
    <col min="10495" max="10497" width="11.7109375" style="3" customWidth="1"/>
    <col min="10498" max="10507" width="10.7109375" style="3" customWidth="1"/>
    <col min="10508" max="10517" width="8.85546875" style="3" customWidth="1"/>
    <col min="10518" max="10748" width="9.140625" style="3"/>
    <col min="10749" max="10749" width="4" style="3" customWidth="1"/>
    <col min="10750" max="10750" width="59.140625" style="3" customWidth="1"/>
    <col min="10751" max="10753" width="11.7109375" style="3" customWidth="1"/>
    <col min="10754" max="10763" width="10.7109375" style="3" customWidth="1"/>
    <col min="10764" max="10773" width="8.85546875" style="3" customWidth="1"/>
    <col min="10774" max="11004" width="9.140625" style="3"/>
    <col min="11005" max="11005" width="4" style="3" customWidth="1"/>
    <col min="11006" max="11006" width="59.140625" style="3" customWidth="1"/>
    <col min="11007" max="11009" width="11.7109375" style="3" customWidth="1"/>
    <col min="11010" max="11019" width="10.7109375" style="3" customWidth="1"/>
    <col min="11020" max="11029" width="8.85546875" style="3" customWidth="1"/>
    <col min="11030" max="11260" width="9.140625" style="3"/>
    <col min="11261" max="11261" width="4" style="3" customWidth="1"/>
    <col min="11262" max="11262" width="59.140625" style="3" customWidth="1"/>
    <col min="11263" max="11265" width="11.7109375" style="3" customWidth="1"/>
    <col min="11266" max="11275" width="10.7109375" style="3" customWidth="1"/>
    <col min="11276" max="11285" width="8.85546875" style="3" customWidth="1"/>
    <col min="11286" max="11516" width="9.140625" style="3"/>
    <col min="11517" max="11517" width="4" style="3" customWidth="1"/>
    <col min="11518" max="11518" width="59.140625" style="3" customWidth="1"/>
    <col min="11519" max="11521" width="11.7109375" style="3" customWidth="1"/>
    <col min="11522" max="11531" width="10.7109375" style="3" customWidth="1"/>
    <col min="11532" max="11541" width="8.85546875" style="3" customWidth="1"/>
    <col min="11542" max="11772" width="9.140625" style="3"/>
    <col min="11773" max="11773" width="4" style="3" customWidth="1"/>
    <col min="11774" max="11774" width="59.140625" style="3" customWidth="1"/>
    <col min="11775" max="11777" width="11.7109375" style="3" customWidth="1"/>
    <col min="11778" max="11787" width="10.7109375" style="3" customWidth="1"/>
    <col min="11788" max="11797" width="8.85546875" style="3" customWidth="1"/>
    <col min="11798" max="12028" width="9.140625" style="3"/>
    <col min="12029" max="12029" width="4" style="3" customWidth="1"/>
    <col min="12030" max="12030" width="59.140625" style="3" customWidth="1"/>
    <col min="12031" max="12033" width="11.7109375" style="3" customWidth="1"/>
    <col min="12034" max="12043" width="10.7109375" style="3" customWidth="1"/>
    <col min="12044" max="12053" width="8.85546875" style="3" customWidth="1"/>
    <col min="12054" max="12284" width="9.140625" style="3"/>
    <col min="12285" max="12285" width="4" style="3" customWidth="1"/>
    <col min="12286" max="12286" width="59.140625" style="3" customWidth="1"/>
    <col min="12287" max="12289" width="11.7109375" style="3" customWidth="1"/>
    <col min="12290" max="12299" width="10.7109375" style="3" customWidth="1"/>
    <col min="12300" max="12309" width="8.85546875" style="3" customWidth="1"/>
    <col min="12310" max="12540" width="9.140625" style="3"/>
    <col min="12541" max="12541" width="4" style="3" customWidth="1"/>
    <col min="12542" max="12542" width="59.140625" style="3" customWidth="1"/>
    <col min="12543" max="12545" width="11.7109375" style="3" customWidth="1"/>
    <col min="12546" max="12555" width="10.7109375" style="3" customWidth="1"/>
    <col min="12556" max="12565" width="8.85546875" style="3" customWidth="1"/>
    <col min="12566" max="12796" width="9.140625" style="3"/>
    <col min="12797" max="12797" width="4" style="3" customWidth="1"/>
    <col min="12798" max="12798" width="59.140625" style="3" customWidth="1"/>
    <col min="12799" max="12801" width="11.7109375" style="3" customWidth="1"/>
    <col min="12802" max="12811" width="10.7109375" style="3" customWidth="1"/>
    <col min="12812" max="12821" width="8.85546875" style="3" customWidth="1"/>
    <col min="12822" max="13052" width="9.140625" style="3"/>
    <col min="13053" max="13053" width="4" style="3" customWidth="1"/>
    <col min="13054" max="13054" width="59.140625" style="3" customWidth="1"/>
    <col min="13055" max="13057" width="11.7109375" style="3" customWidth="1"/>
    <col min="13058" max="13067" width="10.7109375" style="3" customWidth="1"/>
    <col min="13068" max="13077" width="8.85546875" style="3" customWidth="1"/>
    <col min="13078" max="13308" width="9.140625" style="3"/>
    <col min="13309" max="13309" width="4" style="3" customWidth="1"/>
    <col min="13310" max="13310" width="59.140625" style="3" customWidth="1"/>
    <col min="13311" max="13313" width="11.7109375" style="3" customWidth="1"/>
    <col min="13314" max="13323" width="10.7109375" style="3" customWidth="1"/>
    <col min="13324" max="13333" width="8.85546875" style="3" customWidth="1"/>
    <col min="13334" max="13564" width="9.140625" style="3"/>
    <col min="13565" max="13565" width="4" style="3" customWidth="1"/>
    <col min="13566" max="13566" width="59.140625" style="3" customWidth="1"/>
    <col min="13567" max="13569" width="11.7109375" style="3" customWidth="1"/>
    <col min="13570" max="13579" width="10.7109375" style="3" customWidth="1"/>
    <col min="13580" max="13589" width="8.85546875" style="3" customWidth="1"/>
    <col min="13590" max="13820" width="9.140625" style="3"/>
    <col min="13821" max="13821" width="4" style="3" customWidth="1"/>
    <col min="13822" max="13822" width="59.140625" style="3" customWidth="1"/>
    <col min="13823" max="13825" width="11.7109375" style="3" customWidth="1"/>
    <col min="13826" max="13835" width="10.7109375" style="3" customWidth="1"/>
    <col min="13836" max="13845" width="8.85546875" style="3" customWidth="1"/>
    <col min="13846" max="14076" width="9.140625" style="3"/>
    <col min="14077" max="14077" width="4" style="3" customWidth="1"/>
    <col min="14078" max="14078" width="59.140625" style="3" customWidth="1"/>
    <col min="14079" max="14081" width="11.7109375" style="3" customWidth="1"/>
    <col min="14082" max="14091" width="10.7109375" style="3" customWidth="1"/>
    <col min="14092" max="14101" width="8.85546875" style="3" customWidth="1"/>
    <col min="14102" max="14332" width="9.140625" style="3"/>
    <col min="14333" max="14333" width="4" style="3" customWidth="1"/>
    <col min="14334" max="14334" width="59.140625" style="3" customWidth="1"/>
    <col min="14335" max="14337" width="11.7109375" style="3" customWidth="1"/>
    <col min="14338" max="14347" width="10.7109375" style="3" customWidth="1"/>
    <col min="14348" max="14357" width="8.85546875" style="3" customWidth="1"/>
    <col min="14358" max="14588" width="9.140625" style="3"/>
    <col min="14589" max="14589" width="4" style="3" customWidth="1"/>
    <col min="14590" max="14590" width="59.140625" style="3" customWidth="1"/>
    <col min="14591" max="14593" width="11.7109375" style="3" customWidth="1"/>
    <col min="14594" max="14603" width="10.7109375" style="3" customWidth="1"/>
    <col min="14604" max="14613" width="8.85546875" style="3" customWidth="1"/>
    <col min="14614" max="14844" width="9.140625" style="3"/>
    <col min="14845" max="14845" width="4" style="3" customWidth="1"/>
    <col min="14846" max="14846" width="59.140625" style="3" customWidth="1"/>
    <col min="14847" max="14849" width="11.7109375" style="3" customWidth="1"/>
    <col min="14850" max="14859" width="10.7109375" style="3" customWidth="1"/>
    <col min="14860" max="14869" width="8.85546875" style="3" customWidth="1"/>
    <col min="14870" max="15100" width="9.140625" style="3"/>
    <col min="15101" max="15101" width="4" style="3" customWidth="1"/>
    <col min="15102" max="15102" width="59.140625" style="3" customWidth="1"/>
    <col min="15103" max="15105" width="11.7109375" style="3" customWidth="1"/>
    <col min="15106" max="15115" width="10.7109375" style="3" customWidth="1"/>
    <col min="15116" max="15125" width="8.85546875" style="3" customWidth="1"/>
    <col min="15126" max="15356" width="9.140625" style="3"/>
    <col min="15357" max="15357" width="4" style="3" customWidth="1"/>
    <col min="15358" max="15358" width="59.140625" style="3" customWidth="1"/>
    <col min="15359" max="15361" width="11.7109375" style="3" customWidth="1"/>
    <col min="15362" max="15371" width="10.7109375" style="3" customWidth="1"/>
    <col min="15372" max="15381" width="8.85546875" style="3" customWidth="1"/>
    <col min="15382" max="15612" width="9.140625" style="3"/>
    <col min="15613" max="15613" width="4" style="3" customWidth="1"/>
    <col min="15614" max="15614" width="59.140625" style="3" customWidth="1"/>
    <col min="15615" max="15617" width="11.7109375" style="3" customWidth="1"/>
    <col min="15618" max="15627" width="10.7109375" style="3" customWidth="1"/>
    <col min="15628" max="15637" width="8.85546875" style="3" customWidth="1"/>
    <col min="15638" max="15868" width="9.140625" style="3"/>
    <col min="15869" max="15869" width="4" style="3" customWidth="1"/>
    <col min="15870" max="15870" width="59.140625" style="3" customWidth="1"/>
    <col min="15871" max="15873" width="11.7109375" style="3" customWidth="1"/>
    <col min="15874" max="15883" width="10.7109375" style="3" customWidth="1"/>
    <col min="15884" max="15893" width="8.85546875" style="3" customWidth="1"/>
    <col min="15894" max="16124" width="9.140625" style="3"/>
    <col min="16125" max="16125" width="4" style="3" customWidth="1"/>
    <col min="16126" max="16126" width="59.140625" style="3" customWidth="1"/>
    <col min="16127" max="16129" width="11.7109375" style="3" customWidth="1"/>
    <col min="16130" max="16139" width="10.7109375" style="3" customWidth="1"/>
    <col min="16140" max="16149" width="8.85546875" style="3" customWidth="1"/>
    <col min="16150" max="16384" width="9.140625" style="3"/>
  </cols>
  <sheetData>
    <row r="1" spans="1:21">
      <c r="A1" s="1" t="s">
        <v>0</v>
      </c>
    </row>
    <row r="2" spans="1:21">
      <c r="A2" s="1"/>
      <c r="R2" s="3" t="s">
        <v>110</v>
      </c>
    </row>
    <row r="3" spans="1:21">
      <c r="A3" s="1"/>
      <c r="R3" s="3" t="s">
        <v>112</v>
      </c>
    </row>
    <row r="4" spans="1:21">
      <c r="A4" s="1"/>
      <c r="R4" s="73" t="s">
        <v>118</v>
      </c>
    </row>
    <row r="5" spans="1:21">
      <c r="A5" s="1"/>
    </row>
    <row r="6" spans="1:21">
      <c r="A6" s="1"/>
    </row>
    <row r="7" spans="1:21" ht="23.25" customHeight="1">
      <c r="A7" s="5"/>
      <c r="B7" s="106" t="s">
        <v>113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4"/>
      <c r="S7" s="4"/>
      <c r="T7" s="4"/>
      <c r="U7" s="4"/>
    </row>
    <row r="8" spans="1:21" ht="19.5" thickBot="1">
      <c r="A8" s="5"/>
      <c r="B8" s="6"/>
      <c r="G8" s="7"/>
      <c r="H8" s="8"/>
      <c r="I8" s="8"/>
      <c r="J8" s="107"/>
      <c r="K8" s="107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>
      <c r="A9" s="108" t="s">
        <v>1</v>
      </c>
      <c r="B9" s="110"/>
      <c r="C9" s="112" t="s">
        <v>2</v>
      </c>
      <c r="D9" s="9">
        <v>2016</v>
      </c>
      <c r="E9" s="9">
        <v>2017</v>
      </c>
      <c r="F9" s="10">
        <v>2018</v>
      </c>
      <c r="G9" s="72">
        <v>2020</v>
      </c>
      <c r="H9" s="104">
        <v>2021</v>
      </c>
      <c r="I9" s="114"/>
      <c r="J9" s="104">
        <v>2022</v>
      </c>
      <c r="K9" s="105"/>
      <c r="L9" s="104">
        <v>2023</v>
      </c>
      <c r="M9" s="105"/>
      <c r="N9" s="104">
        <v>2024</v>
      </c>
      <c r="O9" s="105"/>
      <c r="P9" s="104">
        <v>2025</v>
      </c>
      <c r="Q9" s="105"/>
      <c r="R9" s="104">
        <v>2026</v>
      </c>
      <c r="S9" s="105"/>
      <c r="T9" s="104">
        <v>2027</v>
      </c>
      <c r="U9" s="105"/>
    </row>
    <row r="10" spans="1:21" ht="24.75" thickBot="1">
      <c r="A10" s="109"/>
      <c r="B10" s="111"/>
      <c r="C10" s="113"/>
      <c r="D10" s="11" t="s">
        <v>3</v>
      </c>
      <c r="E10" s="11" t="s">
        <v>3</v>
      </c>
      <c r="F10" s="11" t="s">
        <v>3</v>
      </c>
      <c r="G10" s="11" t="s">
        <v>3</v>
      </c>
      <c r="H10" s="11" t="s">
        <v>4</v>
      </c>
      <c r="I10" s="12" t="s">
        <v>6</v>
      </c>
      <c r="J10" s="11" t="s">
        <v>5</v>
      </c>
      <c r="K10" s="12" t="s">
        <v>6</v>
      </c>
      <c r="L10" s="11" t="s">
        <v>5</v>
      </c>
      <c r="M10" s="12" t="s">
        <v>6</v>
      </c>
      <c r="N10" s="11" t="s">
        <v>5</v>
      </c>
      <c r="O10" s="12" t="s">
        <v>6</v>
      </c>
      <c r="P10" s="11" t="s">
        <v>5</v>
      </c>
      <c r="Q10" s="12" t="s">
        <v>6</v>
      </c>
      <c r="R10" s="11" t="s">
        <v>5</v>
      </c>
      <c r="S10" s="12" t="s">
        <v>6</v>
      </c>
      <c r="T10" s="11" t="s">
        <v>5</v>
      </c>
      <c r="U10" s="12" t="s">
        <v>6</v>
      </c>
    </row>
    <row r="11" spans="1:21" ht="0.75" customHeight="1" thickBot="1">
      <c r="A11" s="13"/>
      <c r="B11" s="14"/>
      <c r="C11" s="15"/>
      <c r="D11" s="16"/>
      <c r="E11" s="16"/>
      <c r="F11" s="16"/>
      <c r="G11" s="16"/>
      <c r="H11" s="16"/>
      <c r="I11" s="17"/>
      <c r="J11" s="16"/>
      <c r="K11" s="17"/>
      <c r="L11" s="16"/>
      <c r="M11" s="17"/>
      <c r="N11" s="16"/>
      <c r="O11" s="17"/>
      <c r="P11" s="16"/>
      <c r="Q11" s="17"/>
      <c r="R11" s="16"/>
      <c r="S11" s="17"/>
      <c r="T11" s="16"/>
      <c r="U11" s="17"/>
    </row>
    <row r="12" spans="1:21">
      <c r="A12" s="18">
        <v>1</v>
      </c>
      <c r="B12" s="19" t="s">
        <v>7</v>
      </c>
      <c r="C12" s="20" t="s">
        <v>8</v>
      </c>
      <c r="D12" s="21">
        <v>11835</v>
      </c>
      <c r="E12" s="21">
        <v>11835</v>
      </c>
      <c r="F12" s="21">
        <v>11676</v>
      </c>
      <c r="G12" s="21">
        <v>12200</v>
      </c>
      <c r="H12" s="21">
        <v>12198</v>
      </c>
      <c r="I12" s="22"/>
      <c r="J12" s="21">
        <v>12198</v>
      </c>
      <c r="K12" s="23"/>
      <c r="L12" s="21">
        <v>12713</v>
      </c>
      <c r="M12" s="23"/>
      <c r="N12" s="21">
        <v>12978</v>
      </c>
      <c r="O12" s="23"/>
      <c r="P12" s="21">
        <f>N12*1.004</f>
        <v>13029.912</v>
      </c>
      <c r="Q12" s="23"/>
      <c r="R12" s="21">
        <f>P12*1.004</f>
        <v>13082.031648</v>
      </c>
      <c r="S12" s="23"/>
      <c r="T12" s="21">
        <f>R12*1.004</f>
        <v>13134.359774592</v>
      </c>
      <c r="U12" s="23"/>
    </row>
    <row r="13" spans="1:21" s="59" customFormat="1" ht="24">
      <c r="A13" s="24">
        <v>2</v>
      </c>
      <c r="B13" s="25" t="s">
        <v>9</v>
      </c>
      <c r="C13" s="26" t="s">
        <v>8</v>
      </c>
      <c r="D13" s="58">
        <v>7856</v>
      </c>
      <c r="E13" s="58">
        <v>7856</v>
      </c>
      <c r="F13" s="58">
        <v>8137</v>
      </c>
      <c r="G13" s="80">
        <v>5888</v>
      </c>
      <c r="H13" s="80">
        <v>5848</v>
      </c>
      <c r="I13" s="81"/>
      <c r="J13" s="80">
        <v>5918</v>
      </c>
      <c r="K13" s="82"/>
      <c r="L13" s="80">
        <v>5978</v>
      </c>
      <c r="M13" s="82"/>
      <c r="N13" s="80">
        <v>6038</v>
      </c>
      <c r="O13" s="82"/>
      <c r="P13" s="80">
        <f>N13*1.004</f>
        <v>6062.152</v>
      </c>
      <c r="Q13" s="82"/>
      <c r="R13" s="80">
        <f>P13*1.004</f>
        <v>6086.4006079999999</v>
      </c>
      <c r="S13" s="82"/>
      <c r="T13" s="80">
        <f>R13*1.004</f>
        <v>6110.7462104320002</v>
      </c>
      <c r="U13" s="82"/>
    </row>
    <row r="14" spans="1:21" s="59" customFormat="1">
      <c r="A14" s="24">
        <v>3</v>
      </c>
      <c r="B14" s="25" t="s">
        <v>10</v>
      </c>
      <c r="C14" s="26" t="s">
        <v>8</v>
      </c>
      <c r="D14" s="58">
        <v>5958</v>
      </c>
      <c r="E14" s="58">
        <f>'[1]3-1 (2)'!$D$6</f>
        <v>6090.9</v>
      </c>
      <c r="F14" s="58">
        <f>'[1]3-1 (2)'!$E$6</f>
        <v>6225.4000000000015</v>
      </c>
      <c r="G14" s="80">
        <v>6494</v>
      </c>
      <c r="H14" s="80">
        <v>6978</v>
      </c>
      <c r="I14" s="81"/>
      <c r="J14" s="80">
        <v>6988</v>
      </c>
      <c r="K14" s="82"/>
      <c r="L14" s="80">
        <v>6998</v>
      </c>
      <c r="M14" s="82"/>
      <c r="N14" s="80">
        <v>7008</v>
      </c>
      <c r="O14" s="82"/>
      <c r="P14" s="80">
        <f>N14*1.004</f>
        <v>7036.0320000000002</v>
      </c>
      <c r="Q14" s="82"/>
      <c r="R14" s="80">
        <f>P14*1.004</f>
        <v>7064.1761280000001</v>
      </c>
      <c r="S14" s="82"/>
      <c r="T14" s="80">
        <f>R14*1.004</f>
        <v>7092.4328325120005</v>
      </c>
      <c r="U14" s="82"/>
    </row>
    <row r="15" spans="1:21" s="59" customFormat="1" ht="24">
      <c r="A15" s="24">
        <v>4</v>
      </c>
      <c r="B15" s="25" t="s">
        <v>11</v>
      </c>
      <c r="C15" s="26" t="s">
        <v>12</v>
      </c>
      <c r="D15" s="60">
        <f t="shared" ref="D15" si="0">D14*100/D12</f>
        <v>50.342205323193916</v>
      </c>
      <c r="E15" s="60">
        <f t="shared" ref="E15:J15" si="1">E14*100/E12</f>
        <v>51.465145754119135</v>
      </c>
      <c r="F15" s="60">
        <f t="shared" si="1"/>
        <v>53.31791709489552</v>
      </c>
      <c r="G15" s="83">
        <f t="shared" si="1"/>
        <v>53.229508196721312</v>
      </c>
      <c r="H15" s="83">
        <f t="shared" si="1"/>
        <v>57.206099360550908</v>
      </c>
      <c r="I15" s="81"/>
      <c r="J15" s="83">
        <f t="shared" si="1"/>
        <v>57.288080013116904</v>
      </c>
      <c r="K15" s="82"/>
      <c r="L15" s="83">
        <f t="shared" ref="L15" si="2">L14*100/L12</f>
        <v>55.046015889247229</v>
      </c>
      <c r="M15" s="82"/>
      <c r="N15" s="83">
        <f t="shared" ref="N15" si="3">N14*100/N12</f>
        <v>53.999075358298661</v>
      </c>
      <c r="O15" s="82"/>
      <c r="P15" s="83">
        <f t="shared" ref="P15:R15" si="4">P14*100/P12</f>
        <v>53.999075358298661</v>
      </c>
      <c r="Q15" s="82"/>
      <c r="R15" s="83">
        <f t="shared" si="4"/>
        <v>53.999075358298661</v>
      </c>
      <c r="S15" s="82"/>
      <c r="T15" s="83">
        <f t="shared" ref="T15" si="5">T14*100/T12</f>
        <v>53.999075358298668</v>
      </c>
      <c r="U15" s="82"/>
    </row>
    <row r="16" spans="1:21" s="59" customFormat="1">
      <c r="A16" s="24">
        <v>5</v>
      </c>
      <c r="B16" s="25" t="s">
        <v>13</v>
      </c>
      <c r="C16" s="26" t="s">
        <v>8</v>
      </c>
      <c r="D16" s="58">
        <v>5910</v>
      </c>
      <c r="E16" s="58">
        <f>E14-'[1]3-1 (2)'!$D$135</f>
        <v>6000.7</v>
      </c>
      <c r="F16" s="58">
        <f>F14-'[1]3-1 (2)'!$E$135</f>
        <v>6135.8000000000011</v>
      </c>
      <c r="G16" s="80">
        <v>6249.4</v>
      </c>
      <c r="H16" s="80">
        <v>6010.9</v>
      </c>
      <c r="I16" s="81"/>
      <c r="J16" s="80">
        <v>5759.9</v>
      </c>
      <c r="K16" s="82"/>
      <c r="L16" s="80">
        <v>5709.9</v>
      </c>
      <c r="M16" s="82"/>
      <c r="N16" s="80">
        <v>5710.9</v>
      </c>
      <c r="O16" s="82"/>
      <c r="P16" s="80">
        <f>N16*1.004</f>
        <v>5733.7435999999998</v>
      </c>
      <c r="Q16" s="82"/>
      <c r="R16" s="80">
        <f>P16*1.004</f>
        <v>5756.6785743999999</v>
      </c>
      <c r="S16" s="82"/>
      <c r="T16" s="80">
        <f>R16*1.004</f>
        <v>5779.7052886975998</v>
      </c>
      <c r="U16" s="82"/>
    </row>
    <row r="17" spans="1:21" s="59" customFormat="1" ht="24">
      <c r="A17" s="24">
        <v>6</v>
      </c>
      <c r="B17" s="25" t="s">
        <v>14</v>
      </c>
      <c r="C17" s="26" t="s">
        <v>8</v>
      </c>
      <c r="D17" s="58">
        <v>98</v>
      </c>
      <c r="E17" s="58">
        <v>550</v>
      </c>
      <c r="F17" s="58">
        <v>550</v>
      </c>
      <c r="G17" s="80">
        <v>580</v>
      </c>
      <c r="H17" s="80">
        <v>560</v>
      </c>
      <c r="I17" s="81"/>
      <c r="J17" s="80">
        <v>540</v>
      </c>
      <c r="K17" s="82"/>
      <c r="L17" s="80">
        <v>520</v>
      </c>
      <c r="M17" s="82"/>
      <c r="N17" s="80">
        <v>500</v>
      </c>
      <c r="O17" s="82"/>
      <c r="P17" s="80">
        <v>490</v>
      </c>
      <c r="Q17" s="82"/>
      <c r="R17" s="80">
        <v>480</v>
      </c>
      <c r="S17" s="82"/>
      <c r="T17" s="80">
        <v>470</v>
      </c>
      <c r="U17" s="82"/>
    </row>
    <row r="18" spans="1:21" s="59" customFormat="1">
      <c r="A18" s="24"/>
      <c r="B18" s="25" t="s">
        <v>15</v>
      </c>
      <c r="C18" s="26" t="s">
        <v>8</v>
      </c>
      <c r="D18" s="58">
        <v>98</v>
      </c>
      <c r="E18" s="58">
        <v>230</v>
      </c>
      <c r="F18" s="58">
        <v>230</v>
      </c>
      <c r="G18" s="80">
        <v>225</v>
      </c>
      <c r="H18" s="80">
        <v>225</v>
      </c>
      <c r="I18" s="81"/>
      <c r="J18" s="80">
        <v>225</v>
      </c>
      <c r="K18" s="81"/>
      <c r="L18" s="80">
        <v>225</v>
      </c>
      <c r="M18" s="81"/>
      <c r="N18" s="80">
        <v>225</v>
      </c>
      <c r="O18" s="81"/>
      <c r="P18" s="80">
        <v>225</v>
      </c>
      <c r="Q18" s="81"/>
      <c r="R18" s="80">
        <v>225</v>
      </c>
      <c r="S18" s="81"/>
      <c r="T18" s="80">
        <v>225</v>
      </c>
      <c r="U18" s="81"/>
    </row>
    <row r="19" spans="1:21" s="59" customFormat="1">
      <c r="A19" s="24"/>
      <c r="B19" s="25" t="s">
        <v>16</v>
      </c>
      <c r="C19" s="26" t="s">
        <v>8</v>
      </c>
      <c r="D19" s="58">
        <v>8161</v>
      </c>
      <c r="E19" s="58">
        <f>E14+E18</f>
        <v>6320.9</v>
      </c>
      <c r="F19" s="58">
        <f>F14+F18</f>
        <v>6455.4000000000015</v>
      </c>
      <c r="G19" s="80">
        <v>8342</v>
      </c>
      <c r="H19" s="80">
        <v>8342</v>
      </c>
      <c r="I19" s="81"/>
      <c r="J19" s="80">
        <v>8258</v>
      </c>
      <c r="K19" s="82"/>
      <c r="L19" s="80">
        <v>8272</v>
      </c>
      <c r="M19" s="82"/>
      <c r="N19" s="80">
        <v>8354</v>
      </c>
      <c r="O19" s="82"/>
      <c r="P19" s="80">
        <f>N19*1.004</f>
        <v>8387.4159999999993</v>
      </c>
      <c r="Q19" s="82"/>
      <c r="R19" s="80">
        <f>P19*1.004</f>
        <v>8420.9656639999994</v>
      </c>
      <c r="S19" s="82"/>
      <c r="T19" s="80">
        <f>R19*1.004</f>
        <v>8454.6495266559996</v>
      </c>
      <c r="U19" s="82"/>
    </row>
    <row r="20" spans="1:21" s="59" customFormat="1" ht="24">
      <c r="A20" s="24">
        <v>7</v>
      </c>
      <c r="B20" s="25" t="s">
        <v>17</v>
      </c>
      <c r="C20" s="26" t="s">
        <v>12</v>
      </c>
      <c r="D20" s="60">
        <f>D18/D19*100</f>
        <v>1.2008332312216641</v>
      </c>
      <c r="E20" s="60">
        <f>E18/E19*100</f>
        <v>3.6387223338448642</v>
      </c>
      <c r="F20" s="60">
        <f>F18/F19*100</f>
        <v>3.5629085726678431</v>
      </c>
      <c r="G20" s="83">
        <f>G18/G19*100</f>
        <v>2.6971949172860223</v>
      </c>
      <c r="H20" s="83">
        <f>H18/H19*100</f>
        <v>2.6971949172860223</v>
      </c>
      <c r="I20" s="81"/>
      <c r="J20" s="83">
        <f>J18/J19*100</f>
        <v>2.7246306611770401</v>
      </c>
      <c r="K20" s="82"/>
      <c r="L20" s="83">
        <f>L18/L19*100</f>
        <v>2.7200193423597678</v>
      </c>
      <c r="M20" s="82"/>
      <c r="N20" s="83">
        <f>N18/N19*100</f>
        <v>2.6933205649988032</v>
      </c>
      <c r="O20" s="82"/>
      <c r="P20" s="83">
        <f>P18/P19*100</f>
        <v>2.6825902041820751</v>
      </c>
      <c r="Q20" s="82"/>
      <c r="R20" s="83">
        <f>R18/R19*100</f>
        <v>2.6719025938068475</v>
      </c>
      <c r="S20" s="82"/>
      <c r="T20" s="83">
        <f>T18/T19*100</f>
        <v>2.6612575635526365</v>
      </c>
      <c r="U20" s="82"/>
    </row>
    <row r="21" spans="1:21" s="59" customFormat="1">
      <c r="A21" s="24"/>
      <c r="B21" s="25" t="s">
        <v>18</v>
      </c>
      <c r="C21" s="26" t="s">
        <v>8</v>
      </c>
      <c r="D21" s="60">
        <v>115</v>
      </c>
      <c r="E21" s="60">
        <v>87</v>
      </c>
      <c r="F21" s="60">
        <v>95</v>
      </c>
      <c r="G21" s="83">
        <v>231</v>
      </c>
      <c r="H21" s="83">
        <v>98</v>
      </c>
      <c r="I21" s="81"/>
      <c r="J21" s="83">
        <v>90</v>
      </c>
      <c r="K21" s="82"/>
      <c r="L21" s="83">
        <v>90</v>
      </c>
      <c r="M21" s="82"/>
      <c r="N21" s="83">
        <v>90</v>
      </c>
      <c r="O21" s="82"/>
      <c r="P21" s="83">
        <v>90</v>
      </c>
      <c r="Q21" s="82"/>
      <c r="R21" s="83">
        <v>90</v>
      </c>
      <c r="S21" s="82"/>
      <c r="T21" s="83">
        <v>90</v>
      </c>
      <c r="U21" s="82"/>
    </row>
    <row r="22" spans="1:21" s="59" customFormat="1" ht="24">
      <c r="A22" s="24">
        <v>8</v>
      </c>
      <c r="B22" s="25" t="s">
        <v>19</v>
      </c>
      <c r="C22" s="26" t="s">
        <v>12</v>
      </c>
      <c r="D22" s="60">
        <f t="shared" ref="D22" si="6">D21/D19*100</f>
        <v>1.4091410366376669</v>
      </c>
      <c r="E22" s="60">
        <f t="shared" ref="E22:J22" si="7">E21/E19*100</f>
        <v>1.3763862741065356</v>
      </c>
      <c r="F22" s="60">
        <f t="shared" si="7"/>
        <v>1.4716361495801962</v>
      </c>
      <c r="G22" s="83">
        <f>G21/G19*100</f>
        <v>2.7691201150803164</v>
      </c>
      <c r="H22" s="83">
        <f t="shared" si="7"/>
        <v>1.1747782306401342</v>
      </c>
      <c r="I22" s="81"/>
      <c r="J22" s="83">
        <f t="shared" si="7"/>
        <v>1.0898522644708162</v>
      </c>
      <c r="K22" s="82"/>
      <c r="L22" s="83">
        <f t="shared" ref="L22" si="8">L21/L19*100</f>
        <v>1.0880077369439072</v>
      </c>
      <c r="M22" s="82"/>
      <c r="N22" s="83">
        <f t="shared" ref="N22" si="9">N21/N19*100</f>
        <v>1.0773282259995212</v>
      </c>
      <c r="O22" s="82"/>
      <c r="P22" s="83">
        <f t="shared" ref="P22:R22" si="10">P21/P19*100</f>
        <v>1.0730360816728299</v>
      </c>
      <c r="Q22" s="82"/>
      <c r="R22" s="83">
        <f t="shared" si="10"/>
        <v>1.068761037522739</v>
      </c>
      <c r="S22" s="82"/>
      <c r="T22" s="83">
        <f t="shared" ref="T22" si="11">T21/T19*100</f>
        <v>1.0645030254210548</v>
      </c>
      <c r="U22" s="82"/>
    </row>
    <row r="23" spans="1:21" s="59" customFormat="1" ht="24.75" thickBot="1">
      <c r="A23" s="29">
        <v>9</v>
      </c>
      <c r="B23" s="30" t="s">
        <v>20</v>
      </c>
      <c r="C23" s="31" t="s">
        <v>21</v>
      </c>
      <c r="D23" s="61">
        <v>103400</v>
      </c>
      <c r="E23" s="68">
        <f>'[1]6 (2)'!$D$6</f>
        <v>112602.01249646318</v>
      </c>
      <c r="F23" s="68">
        <f>'[1]6 (2)'!$E$6</f>
        <v>116229.5536003235</v>
      </c>
      <c r="G23" s="84">
        <v>126634.21</v>
      </c>
      <c r="H23" s="84">
        <v>134160.38</v>
      </c>
      <c r="I23" s="84">
        <v>125791</v>
      </c>
      <c r="J23" s="84">
        <v>140156</v>
      </c>
      <c r="K23" s="84">
        <v>139375.37</v>
      </c>
      <c r="L23" s="84">
        <v>145984.75</v>
      </c>
      <c r="M23" s="84">
        <v>144487.46</v>
      </c>
      <c r="N23" s="84">
        <v>154631.21</v>
      </c>
      <c r="O23" s="84">
        <v>150769.01999999999</v>
      </c>
      <c r="P23" s="84">
        <f t="shared" ref="P23:U23" si="12">N23*1.004</f>
        <v>155249.73483999999</v>
      </c>
      <c r="Q23" s="84">
        <f t="shared" si="12"/>
        <v>151372.09607999999</v>
      </c>
      <c r="R23" s="84">
        <f t="shared" si="12"/>
        <v>155870.73377935999</v>
      </c>
      <c r="S23" s="84">
        <f t="shared" si="12"/>
        <v>151977.58446431998</v>
      </c>
      <c r="T23" s="84">
        <f t="shared" si="12"/>
        <v>156494.21671447743</v>
      </c>
      <c r="U23" s="84">
        <f t="shared" si="12"/>
        <v>152585.49480217727</v>
      </c>
    </row>
    <row r="24" spans="1:21" ht="13.5" thickBot="1">
      <c r="A24" s="32">
        <v>10</v>
      </c>
      <c r="B24" s="33" t="s">
        <v>22</v>
      </c>
      <c r="C24" s="34"/>
      <c r="D24" s="35"/>
      <c r="E24" s="35"/>
      <c r="F24" s="35"/>
      <c r="G24" s="35"/>
      <c r="H24" s="35"/>
      <c r="I24" s="35"/>
      <c r="J24" s="35"/>
      <c r="K24" s="67"/>
      <c r="L24" s="35"/>
      <c r="M24" s="67"/>
      <c r="N24" s="35"/>
      <c r="O24" s="67"/>
      <c r="P24" s="35"/>
      <c r="Q24" s="67"/>
      <c r="R24" s="35"/>
      <c r="S24" s="67"/>
      <c r="T24" s="35"/>
      <c r="U24" s="67"/>
    </row>
    <row r="25" spans="1:21" ht="0.75" customHeight="1">
      <c r="A25" s="24"/>
      <c r="B25" s="36" t="s">
        <v>23</v>
      </c>
      <c r="C25" s="37" t="s">
        <v>24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hidden="1">
      <c r="A26" s="24"/>
      <c r="B26" s="36" t="s">
        <v>25</v>
      </c>
      <c r="C26" s="37" t="s">
        <v>24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hidden="1">
      <c r="A27" s="24"/>
      <c r="B27" s="36" t="s">
        <v>26</v>
      </c>
      <c r="C27" s="37" t="s">
        <v>27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idden="1">
      <c r="A28" s="24"/>
      <c r="B28" s="36" t="s">
        <v>28</v>
      </c>
      <c r="C28" s="37" t="s">
        <v>27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24" hidden="1">
      <c r="A29" s="24"/>
      <c r="B29" s="36" t="s">
        <v>29</v>
      </c>
      <c r="C29" s="37" t="s">
        <v>30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59" customFormat="1" ht="16.5" customHeight="1">
      <c r="A30" s="24"/>
      <c r="B30" s="62" t="s">
        <v>31</v>
      </c>
      <c r="C30" s="63" t="s">
        <v>111</v>
      </c>
      <c r="D30" s="64">
        <v>286809</v>
      </c>
      <c r="E30" s="64"/>
      <c r="F30" s="69">
        <v>510.49</v>
      </c>
      <c r="G30" s="85">
        <v>805.46</v>
      </c>
      <c r="H30" s="85">
        <v>815.9</v>
      </c>
      <c r="I30" s="85"/>
      <c r="J30" s="85">
        <f>H30*1.013</f>
        <v>826.50669999999991</v>
      </c>
      <c r="K30" s="85"/>
      <c r="L30" s="85">
        <f>J30*1.013</f>
        <v>837.25128709999979</v>
      </c>
      <c r="M30" s="85"/>
      <c r="N30" s="85">
        <f>L30*1.013</f>
        <v>848.13555383229971</v>
      </c>
      <c r="O30" s="85"/>
      <c r="P30" s="85">
        <f>N30*1.013</f>
        <v>859.16131603211954</v>
      </c>
      <c r="Q30" s="86"/>
      <c r="R30" s="85">
        <f>P30*1.013</f>
        <v>870.33041314053696</v>
      </c>
      <c r="S30" s="86"/>
      <c r="T30" s="85">
        <f>R30*1.013</f>
        <v>881.64470851136389</v>
      </c>
      <c r="U30" s="86"/>
    </row>
    <row r="31" spans="1:21" hidden="1">
      <c r="A31" s="24"/>
      <c r="B31" s="36" t="str">
        <f>[2]Мирнинский!B26</f>
        <v>Алмазы природные несортированные</v>
      </c>
      <c r="C31" s="37" t="str">
        <f>[2]Мирнинский!C26</f>
        <v>т.карат</v>
      </c>
      <c r="D31" s="57">
        <v>4297.3</v>
      </c>
      <c r="E31" s="57">
        <v>4297.3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</row>
    <row r="32" spans="1:21" ht="0.75" hidden="1" customHeight="1">
      <c r="A32" s="24"/>
      <c r="B32" s="36" t="s">
        <v>32</v>
      </c>
      <c r="C32" s="37" t="s">
        <v>33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24" hidden="1">
      <c r="A33" s="24"/>
      <c r="B33" s="36" t="s">
        <v>34</v>
      </c>
      <c r="C33" s="37" t="s">
        <v>33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hidden="1">
      <c r="A34" s="24"/>
      <c r="B34" s="36" t="s">
        <v>35</v>
      </c>
      <c r="C34" s="37" t="s">
        <v>36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24" hidden="1">
      <c r="A35" s="24"/>
      <c r="B35" s="36" t="s">
        <v>37</v>
      </c>
      <c r="C35" s="37" t="s">
        <v>38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ht="24" hidden="1">
      <c r="A36" s="24"/>
      <c r="B36" s="36" t="s">
        <v>37</v>
      </c>
      <c r="C36" s="37" t="s">
        <v>39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idden="1">
      <c r="A37" s="24"/>
      <c r="B37" s="36" t="s">
        <v>40</v>
      </c>
      <c r="C37" s="37" t="s">
        <v>41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ht="3" hidden="1" customHeight="1">
      <c r="A38" s="24"/>
      <c r="B38" s="36" t="s">
        <v>42</v>
      </c>
      <c r="C38" s="37" t="s">
        <v>41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idden="1">
      <c r="A39" s="24"/>
      <c r="B39" s="36" t="s">
        <v>43</v>
      </c>
      <c r="C39" s="37" t="s">
        <v>41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hidden="1">
      <c r="A40" s="24"/>
      <c r="B40" s="36" t="s">
        <v>44</v>
      </c>
      <c r="C40" s="37" t="s">
        <v>45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hidden="1">
      <c r="A41" s="24"/>
      <c r="B41" s="36" t="s">
        <v>46</v>
      </c>
      <c r="C41" s="37" t="s">
        <v>47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idden="1">
      <c r="A42" s="24"/>
      <c r="B42" s="36" t="s">
        <v>48</v>
      </c>
      <c r="C42" s="37" t="s">
        <v>47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hidden="1">
      <c r="A43" s="24"/>
      <c r="B43" s="36" t="s">
        <v>49</v>
      </c>
      <c r="C43" s="37" t="s">
        <v>47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hidden="1">
      <c r="A44" s="24"/>
      <c r="B44" s="36" t="s">
        <v>50</v>
      </c>
      <c r="C44" s="37" t="s">
        <v>47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ht="24" hidden="1">
      <c r="A45" s="24"/>
      <c r="B45" s="36" t="s">
        <v>51</v>
      </c>
      <c r="C45" s="37" t="s">
        <v>52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ht="24" hidden="1">
      <c r="A46" s="24"/>
      <c r="B46" s="36" t="s">
        <v>53</v>
      </c>
      <c r="C46" s="37" t="s">
        <v>52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hidden="1">
      <c r="A47" s="24"/>
      <c r="B47" s="36" t="s">
        <v>54</v>
      </c>
      <c r="C47" s="37" t="s">
        <v>47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idden="1">
      <c r="A48" s="24"/>
      <c r="B48" s="36" t="s">
        <v>55</v>
      </c>
      <c r="C48" s="37" t="s">
        <v>47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idden="1">
      <c r="A49" s="24"/>
      <c r="B49" s="36" t="s">
        <v>56</v>
      </c>
      <c r="C49" s="37" t="s">
        <v>57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ht="24" hidden="1">
      <c r="A50" s="24"/>
      <c r="B50" s="36" t="s">
        <v>58</v>
      </c>
      <c r="C50" s="37" t="s">
        <v>59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hidden="1">
      <c r="A51" s="24"/>
      <c r="B51" s="41" t="s">
        <v>60</v>
      </c>
      <c r="C51" s="42" t="s">
        <v>27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1:21" hidden="1">
      <c r="A52" s="24"/>
      <c r="B52" s="41" t="s">
        <v>61</v>
      </c>
      <c r="C52" s="42" t="s">
        <v>27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1:21" hidden="1">
      <c r="A53" s="24"/>
      <c r="B53" s="41" t="s">
        <v>62</v>
      </c>
      <c r="C53" s="42" t="s">
        <v>27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1:21" ht="21" hidden="1" customHeight="1">
      <c r="A54" s="24"/>
      <c r="B54" s="41" t="s">
        <v>63</v>
      </c>
      <c r="C54" s="42" t="s">
        <v>27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1:21">
      <c r="A55" s="24"/>
      <c r="B55" s="41" t="s">
        <v>64</v>
      </c>
      <c r="C55" s="42" t="s">
        <v>27</v>
      </c>
      <c r="D55" s="39">
        <v>16</v>
      </c>
      <c r="E55" s="39">
        <v>10</v>
      </c>
      <c r="F55" s="39">
        <v>12</v>
      </c>
      <c r="G55" s="86">
        <v>12.3</v>
      </c>
      <c r="H55" s="86">
        <v>3.5</v>
      </c>
      <c r="I55" s="86"/>
      <c r="J55" s="86">
        <f>H55*K56</f>
        <v>3.6477701262502045</v>
      </c>
      <c r="K55" s="86"/>
      <c r="L55" s="86">
        <f>J55*M56</f>
        <v>3.7238071815051641</v>
      </c>
      <c r="M55" s="86"/>
      <c r="N55" s="86">
        <f>L55*M56</f>
        <v>3.8014292143140107</v>
      </c>
      <c r="O55" s="86"/>
      <c r="P55" s="86">
        <f>N55*O56</f>
        <v>3.8166349311712668</v>
      </c>
      <c r="Q55" s="86"/>
      <c r="R55" s="86">
        <f>P55*Q56</f>
        <v>3.8319014708959518</v>
      </c>
      <c r="S55" s="86"/>
      <c r="T55" s="86">
        <f>R55*S56</f>
        <v>3.8472290767795356</v>
      </c>
      <c r="U55" s="86"/>
    </row>
    <row r="56" spans="1:21">
      <c r="A56" s="24"/>
      <c r="B56" s="41" t="s">
        <v>65</v>
      </c>
      <c r="C56" s="42" t="s">
        <v>27</v>
      </c>
      <c r="D56" s="39">
        <v>169.6</v>
      </c>
      <c r="E56" s="39"/>
      <c r="F56" s="70">
        <f>G12/F12</f>
        <v>1.0448783830078794</v>
      </c>
      <c r="G56" s="103">
        <f>H12/G12</f>
        <v>0.99983606557377047</v>
      </c>
      <c r="H56" s="86"/>
      <c r="I56" s="103">
        <f>J12/H12</f>
        <v>1</v>
      </c>
      <c r="J56" s="86"/>
      <c r="K56" s="103">
        <f>L12/J12</f>
        <v>1.0422200360714871</v>
      </c>
      <c r="L56" s="86"/>
      <c r="M56" s="103">
        <f>N12/L12</f>
        <v>1.0208448045307952</v>
      </c>
      <c r="N56" s="86"/>
      <c r="O56" s="103">
        <f>P12/N12</f>
        <v>1.004</v>
      </c>
      <c r="P56" s="86"/>
      <c r="Q56" s="103">
        <f>R12/P12</f>
        <v>1.004</v>
      </c>
      <c r="R56" s="86"/>
      <c r="S56" s="103">
        <f>T12/R12</f>
        <v>1.004</v>
      </c>
      <c r="T56" s="86"/>
      <c r="U56" s="86"/>
    </row>
    <row r="57" spans="1:21" hidden="1">
      <c r="A57" s="24"/>
      <c r="B57" s="41" t="s">
        <v>66</v>
      </c>
      <c r="C57" s="42" t="s">
        <v>27</v>
      </c>
      <c r="D57" s="40"/>
      <c r="E57" s="40"/>
      <c r="F57" s="40"/>
      <c r="G57" s="86" t="e">
        <f>F57*#REF!</f>
        <v>#REF!</v>
      </c>
      <c r="H57" s="86" t="e">
        <f>G57*I58</f>
        <v>#REF!</v>
      </c>
      <c r="I57" s="97"/>
      <c r="J57" s="86" t="e">
        <f>H57*K58</f>
        <v>#REF!</v>
      </c>
      <c r="K57" s="97"/>
      <c r="L57" s="86" t="e">
        <f t="shared" ref="L57:L59" si="13">J57*M58</f>
        <v>#REF!</v>
      </c>
      <c r="M57" s="97"/>
      <c r="N57" s="86" t="e">
        <f t="shared" ref="N57:N62" si="14">L57*M58</f>
        <v>#REF!</v>
      </c>
      <c r="O57" s="97"/>
      <c r="P57" s="86" t="e">
        <f t="shared" ref="P57:P59" si="15">N57*O58</f>
        <v>#REF!</v>
      </c>
      <c r="Q57" s="97"/>
      <c r="R57" s="86" t="e">
        <f t="shared" ref="R57:R59" si="16">P57*Q58</f>
        <v>#REF!</v>
      </c>
      <c r="S57" s="97"/>
      <c r="T57" s="86" t="e">
        <f t="shared" ref="T57:T59" si="17">R57*S58</f>
        <v>#REF!</v>
      </c>
      <c r="U57" s="97"/>
    </row>
    <row r="58" spans="1:21" ht="24" hidden="1">
      <c r="A58" s="24"/>
      <c r="B58" s="41" t="s">
        <v>67</v>
      </c>
      <c r="C58" s="42" t="s">
        <v>27</v>
      </c>
      <c r="D58" s="40"/>
      <c r="E58" s="40"/>
      <c r="F58" s="40"/>
      <c r="G58" s="86" t="e">
        <f>F58*#REF!</f>
        <v>#REF!</v>
      </c>
      <c r="H58" s="86" t="e">
        <f>G58*I59</f>
        <v>#REF!</v>
      </c>
      <c r="I58" s="97"/>
      <c r="J58" s="86" t="e">
        <f>H58*K59</f>
        <v>#REF!</v>
      </c>
      <c r="K58" s="97"/>
      <c r="L58" s="86" t="e">
        <f t="shared" si="13"/>
        <v>#REF!</v>
      </c>
      <c r="M58" s="97"/>
      <c r="N58" s="86" t="e">
        <f t="shared" si="14"/>
        <v>#REF!</v>
      </c>
      <c r="O58" s="97"/>
      <c r="P58" s="86" t="e">
        <f t="shared" si="15"/>
        <v>#REF!</v>
      </c>
      <c r="Q58" s="97"/>
      <c r="R58" s="86" t="e">
        <f t="shared" si="16"/>
        <v>#REF!</v>
      </c>
      <c r="S58" s="97"/>
      <c r="T58" s="86" t="e">
        <f t="shared" si="17"/>
        <v>#REF!</v>
      </c>
      <c r="U58" s="97"/>
    </row>
    <row r="59" spans="1:21" hidden="1">
      <c r="A59" s="24"/>
      <c r="B59" s="41" t="s">
        <v>68</v>
      </c>
      <c r="C59" s="42" t="s">
        <v>27</v>
      </c>
      <c r="D59" s="40"/>
      <c r="E59" s="40"/>
      <c r="F59" s="40"/>
      <c r="G59" s="86" t="e">
        <f>F59*#REF!</f>
        <v>#REF!</v>
      </c>
      <c r="H59" s="86" t="e">
        <f>G59*I60</f>
        <v>#REF!</v>
      </c>
      <c r="I59" s="97"/>
      <c r="J59" s="86" t="e">
        <f>H59*K60</f>
        <v>#REF!</v>
      </c>
      <c r="K59" s="97"/>
      <c r="L59" s="86" t="e">
        <f t="shared" si="13"/>
        <v>#REF!</v>
      </c>
      <c r="M59" s="97"/>
      <c r="N59" s="86" t="e">
        <f t="shared" si="14"/>
        <v>#REF!</v>
      </c>
      <c r="O59" s="97"/>
      <c r="P59" s="86" t="e">
        <f t="shared" si="15"/>
        <v>#REF!</v>
      </c>
      <c r="Q59" s="97"/>
      <c r="R59" s="86" t="e">
        <f t="shared" si="16"/>
        <v>#REF!</v>
      </c>
      <c r="S59" s="97"/>
      <c r="T59" s="86" t="e">
        <f t="shared" si="17"/>
        <v>#REF!</v>
      </c>
      <c r="U59" s="97"/>
    </row>
    <row r="60" spans="1:21" ht="18" customHeight="1">
      <c r="A60" s="24"/>
      <c r="B60" s="41" t="s">
        <v>69</v>
      </c>
      <c r="C60" s="42" t="s">
        <v>27</v>
      </c>
      <c r="D60" s="39">
        <v>184.9</v>
      </c>
      <c r="E60" s="39">
        <v>410</v>
      </c>
      <c r="F60" s="39">
        <v>484.2</v>
      </c>
      <c r="G60" s="86">
        <v>499.3</v>
      </c>
      <c r="H60" s="86">
        <v>428.5</v>
      </c>
      <c r="I60" s="86"/>
      <c r="J60" s="86">
        <f>H60*K56</f>
        <v>446.59128545663219</v>
      </c>
      <c r="K60" s="86"/>
      <c r="L60" s="86">
        <f>J60*M56</f>
        <v>455.90039350713226</v>
      </c>
      <c r="M60" s="86"/>
      <c r="N60" s="86">
        <f>L60*O56</f>
        <v>457.72399508116081</v>
      </c>
      <c r="O60" s="86"/>
      <c r="P60" s="86">
        <f>N60*O56</f>
        <v>459.55489106148548</v>
      </c>
      <c r="Q60" s="86"/>
      <c r="R60" s="86">
        <f>P60*Q56</f>
        <v>461.39311062573142</v>
      </c>
      <c r="S60" s="86"/>
      <c r="T60" s="86">
        <f>R60*S56</f>
        <v>463.23868306823437</v>
      </c>
      <c r="U60" s="86"/>
    </row>
    <row r="61" spans="1:21" ht="24" hidden="1">
      <c r="A61" s="24"/>
      <c r="B61" s="41" t="s">
        <v>70</v>
      </c>
      <c r="C61" s="42" t="s">
        <v>27</v>
      </c>
      <c r="D61" s="40"/>
      <c r="E61" s="40"/>
      <c r="F61" s="40"/>
      <c r="G61" s="86" t="e">
        <f>F61*#REF!</f>
        <v>#REF!</v>
      </c>
      <c r="H61" s="86" t="e">
        <f>G61*I62</f>
        <v>#REF!</v>
      </c>
      <c r="I61" s="97"/>
      <c r="J61" s="86" t="e">
        <f>H61*K57</f>
        <v>#REF!</v>
      </c>
      <c r="K61" s="97"/>
      <c r="L61" s="86" t="e">
        <f t="shared" ref="L61:L62" si="18">J61*M57</f>
        <v>#REF!</v>
      </c>
      <c r="M61" s="97"/>
      <c r="N61" s="86" t="e">
        <f t="shared" si="14"/>
        <v>#REF!</v>
      </c>
      <c r="O61" s="97"/>
      <c r="P61" s="86" t="e">
        <f t="shared" ref="P61:P62" si="19">N61*O57</f>
        <v>#REF!</v>
      </c>
      <c r="Q61" s="97"/>
      <c r="R61" s="86" t="e">
        <f t="shared" ref="R61:R62" si="20">P61*Q57</f>
        <v>#REF!</v>
      </c>
      <c r="S61" s="97"/>
      <c r="T61" s="86" t="e">
        <f t="shared" ref="T61:T62" si="21">R61*S57</f>
        <v>#REF!</v>
      </c>
      <c r="U61" s="97"/>
    </row>
    <row r="62" spans="1:21" hidden="1">
      <c r="A62" s="24"/>
      <c r="B62" s="41" t="s">
        <v>71</v>
      </c>
      <c r="C62" s="42" t="s">
        <v>72</v>
      </c>
      <c r="D62" s="40"/>
      <c r="E62" s="40"/>
      <c r="F62" s="40"/>
      <c r="G62" s="86" t="e">
        <f>F62*#REF!</f>
        <v>#REF!</v>
      </c>
      <c r="H62" s="86" t="e">
        <f>G62*I63</f>
        <v>#REF!</v>
      </c>
      <c r="I62" s="97"/>
      <c r="J62" s="86" t="e">
        <f>H62*K58</f>
        <v>#REF!</v>
      </c>
      <c r="K62" s="97"/>
      <c r="L62" s="86" t="e">
        <f t="shared" si="18"/>
        <v>#REF!</v>
      </c>
      <c r="M62" s="97"/>
      <c r="N62" s="86" t="e">
        <f t="shared" si="14"/>
        <v>#REF!</v>
      </c>
      <c r="O62" s="97"/>
      <c r="P62" s="86" t="e">
        <f t="shared" si="19"/>
        <v>#REF!</v>
      </c>
      <c r="Q62" s="97"/>
      <c r="R62" s="86" t="e">
        <f t="shared" si="20"/>
        <v>#REF!</v>
      </c>
      <c r="S62" s="97"/>
      <c r="T62" s="86" t="e">
        <f t="shared" si="21"/>
        <v>#REF!</v>
      </c>
      <c r="U62" s="97"/>
    </row>
    <row r="63" spans="1:21" ht="13.5" thickBot="1">
      <c r="A63" s="24"/>
      <c r="B63" s="41" t="s">
        <v>73</v>
      </c>
      <c r="C63" s="42" t="s">
        <v>74</v>
      </c>
      <c r="D63" s="39">
        <v>9.4</v>
      </c>
      <c r="E63" s="39">
        <v>9.8000000000000007</v>
      </c>
      <c r="F63" s="39">
        <v>9.4</v>
      </c>
      <c r="G63" s="86">
        <v>6.6</v>
      </c>
      <c r="H63" s="86">
        <v>6.7</v>
      </c>
      <c r="I63" s="86"/>
      <c r="J63" s="86">
        <f>H63*K56</f>
        <v>6.9828742416789638</v>
      </c>
      <c r="K63" s="86"/>
      <c r="L63" s="86">
        <f>J63*M56</f>
        <v>7.1284308903098861</v>
      </c>
      <c r="M63" s="86"/>
      <c r="N63" s="86">
        <f>L63*O56</f>
        <v>7.1569446138711257</v>
      </c>
      <c r="O63" s="86"/>
      <c r="P63" s="86">
        <f>N63*O56</f>
        <v>7.1855723923266099</v>
      </c>
      <c r="Q63" s="86"/>
      <c r="R63" s="86">
        <f>P63*Q56</f>
        <v>7.2143146818959165</v>
      </c>
      <c r="S63" s="86"/>
      <c r="T63" s="86">
        <f>R63*S56</f>
        <v>7.2431719406235002</v>
      </c>
      <c r="U63" s="86"/>
    </row>
    <row r="64" spans="1:21" ht="13.5" hidden="1" thickBot="1">
      <c r="A64" s="24"/>
      <c r="B64" s="25" t="s">
        <v>76</v>
      </c>
      <c r="C64" s="43" t="s">
        <v>75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</row>
    <row r="65" spans="1:21" ht="13.5" hidden="1" thickBot="1">
      <c r="A65" s="24"/>
      <c r="B65" s="25" t="s">
        <v>77</v>
      </c>
      <c r="C65" s="43" t="s">
        <v>75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</row>
    <row r="66" spans="1:21" ht="13.5" hidden="1" thickBot="1">
      <c r="A66" s="24"/>
      <c r="B66" s="25" t="s">
        <v>78</v>
      </c>
      <c r="C66" s="43" t="s">
        <v>75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</row>
    <row r="67" spans="1:21" ht="13.5" hidden="1" thickBot="1">
      <c r="A67" s="44">
        <v>12</v>
      </c>
      <c r="B67" s="45" t="s">
        <v>79</v>
      </c>
      <c r="C67" s="46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 ht="13.5" hidden="1" thickBot="1">
      <c r="A68" s="24"/>
      <c r="B68" s="25" t="s">
        <v>80</v>
      </c>
      <c r="C68" s="26" t="s">
        <v>81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ht="13.5" hidden="1" thickBot="1">
      <c r="A69" s="24"/>
      <c r="B69" s="25" t="s">
        <v>82</v>
      </c>
      <c r="C69" s="26" t="s">
        <v>81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ht="13.5" hidden="1" thickBot="1">
      <c r="A70" s="24"/>
      <c r="B70" s="25" t="s">
        <v>83</v>
      </c>
      <c r="C70" s="26" t="s">
        <v>81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ht="13.5" hidden="1" thickBot="1">
      <c r="A71" s="24"/>
      <c r="B71" s="25" t="s">
        <v>84</v>
      </c>
      <c r="C71" s="26" t="s">
        <v>81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</row>
    <row r="72" spans="1:21" ht="13.5" hidden="1" thickBot="1">
      <c r="A72" s="24"/>
      <c r="B72" s="25" t="s">
        <v>85</v>
      </c>
      <c r="C72" s="26" t="s">
        <v>81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ht="13.5" hidden="1" thickBot="1">
      <c r="A73" s="24"/>
      <c r="B73" s="25" t="s">
        <v>86</v>
      </c>
      <c r="C73" s="26" t="s">
        <v>81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ht="13.5" hidden="1" thickBot="1">
      <c r="A74" s="44">
        <v>13</v>
      </c>
      <c r="B74" s="45" t="s">
        <v>87</v>
      </c>
      <c r="C74" s="46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1:21" ht="13.5" hidden="1" thickBot="1">
      <c r="A75" s="24"/>
      <c r="B75" s="25" t="s">
        <v>88</v>
      </c>
      <c r="C75" s="26" t="s">
        <v>27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3.5" hidden="1" thickBot="1">
      <c r="A76" s="24"/>
      <c r="B76" s="25" t="s">
        <v>89</v>
      </c>
      <c r="C76" s="26" t="s">
        <v>27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3.5" hidden="1" thickBot="1">
      <c r="A77" s="24"/>
      <c r="B77" s="25" t="s">
        <v>90</v>
      </c>
      <c r="C77" s="26" t="s">
        <v>91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3.5" hidden="1" thickBot="1">
      <c r="A78" s="24"/>
      <c r="B78" s="25" t="s">
        <v>92</v>
      </c>
      <c r="C78" s="26" t="s">
        <v>27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3.5" hidden="1" thickBot="1">
      <c r="A79" s="24"/>
      <c r="B79" s="25" t="s">
        <v>93</v>
      </c>
      <c r="C79" s="26" t="s">
        <v>27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3.5" hidden="1" thickBot="1">
      <c r="A80" s="24"/>
      <c r="B80" s="25" t="s">
        <v>94</v>
      </c>
      <c r="C80" s="26" t="s">
        <v>27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3.5" hidden="1" thickBot="1">
      <c r="A81" s="29"/>
      <c r="B81" s="30" t="s">
        <v>95</v>
      </c>
      <c r="C81" s="31" t="s">
        <v>27</v>
      </c>
      <c r="D81" s="48"/>
      <c r="E81" s="48"/>
      <c r="F81" s="48"/>
      <c r="G81" s="94"/>
      <c r="H81" s="94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1:21" ht="35.25" customHeight="1" thickBot="1">
      <c r="A82" s="49">
        <v>11</v>
      </c>
      <c r="B82" s="88" t="s">
        <v>114</v>
      </c>
      <c r="C82" s="51" t="s">
        <v>115</v>
      </c>
      <c r="D82" s="52">
        <v>433180</v>
      </c>
      <c r="E82" s="52"/>
      <c r="F82" s="89"/>
      <c r="G82" s="101">
        <v>3.05</v>
      </c>
      <c r="H82" s="102">
        <v>3.16</v>
      </c>
      <c r="I82" s="91"/>
      <c r="J82" s="87">
        <f>H82*1.031</f>
        <v>3.2579599999999997</v>
      </c>
      <c r="K82" s="87">
        <f>H82*1.032</f>
        <v>3.26112</v>
      </c>
      <c r="L82" s="87">
        <f>J82*1.03</f>
        <v>3.3556987999999999</v>
      </c>
      <c r="M82" s="87">
        <f>K82*1.032</f>
        <v>3.3654758400000002</v>
      </c>
      <c r="N82" s="87">
        <f>L82*1.03</f>
        <v>3.4563697640000002</v>
      </c>
      <c r="O82" s="87">
        <f>M82*1.032</f>
        <v>3.4731710668800004</v>
      </c>
      <c r="P82" s="87">
        <f>N82*1.03</f>
        <v>3.5600608569200003</v>
      </c>
      <c r="Q82" s="87">
        <f>O82*1.032</f>
        <v>3.5843125410201604</v>
      </c>
      <c r="R82" s="87">
        <f>P82*1.03</f>
        <v>3.6668626826276003</v>
      </c>
      <c r="S82" s="87">
        <f>Q82*1.032</f>
        <v>3.6990105423328057</v>
      </c>
      <c r="T82" s="87">
        <f>R82*1.03</f>
        <v>3.7768685631064285</v>
      </c>
      <c r="U82" s="87">
        <f>S82*1.032</f>
        <v>3.8173788796874555</v>
      </c>
    </row>
    <row r="83" spans="1:21" ht="13.5" hidden="1" thickBot="1">
      <c r="A83" s="24"/>
      <c r="B83" s="25" t="s">
        <v>97</v>
      </c>
      <c r="C83" s="51" t="s">
        <v>115</v>
      </c>
      <c r="D83" s="53"/>
      <c r="E83" s="53"/>
      <c r="F83" s="90"/>
      <c r="G83" s="100"/>
      <c r="H83" s="100"/>
      <c r="I83" s="92"/>
      <c r="J83" s="87">
        <f t="shared" ref="J83:J84" si="22">H83*1.031</f>
        <v>0</v>
      </c>
      <c r="K83" s="87">
        <f t="shared" ref="K83:K84" si="23">H83*1.032</f>
        <v>0</v>
      </c>
      <c r="L83" s="87">
        <f t="shared" ref="L83:L84" si="24">J83*1.03</f>
        <v>0</v>
      </c>
      <c r="M83" s="87">
        <f t="shared" ref="M83:M84" si="25">K83*1.032</f>
        <v>0</v>
      </c>
      <c r="N83" s="87">
        <f t="shared" ref="N83:N84" si="26">L83*1.03</f>
        <v>0</v>
      </c>
      <c r="O83" s="87">
        <f t="shared" ref="O83:O84" si="27">M83*1.032</f>
        <v>0</v>
      </c>
      <c r="P83" s="87">
        <f t="shared" ref="P83:P84" si="28">N83*1.03</f>
        <v>0</v>
      </c>
      <c r="Q83" s="87">
        <f t="shared" ref="Q83:Q84" si="29">O83*1.032</f>
        <v>0</v>
      </c>
      <c r="R83" s="87">
        <f t="shared" ref="R83:R84" si="30">P83*1.03</f>
        <v>0</v>
      </c>
      <c r="S83" s="87">
        <f t="shared" ref="S83:S84" si="31">Q83*1.032</f>
        <v>0</v>
      </c>
      <c r="T83" s="87">
        <f t="shared" ref="T83:T84" si="32">R83*1.03</f>
        <v>0</v>
      </c>
      <c r="U83" s="87">
        <f t="shared" ref="U83:U84" si="33">S83*1.032</f>
        <v>0</v>
      </c>
    </row>
    <row r="84" spans="1:21" ht="36">
      <c r="A84" s="24">
        <v>12</v>
      </c>
      <c r="B84" s="88" t="s">
        <v>116</v>
      </c>
      <c r="C84" s="51" t="s">
        <v>115</v>
      </c>
      <c r="D84" s="53"/>
      <c r="E84" s="53"/>
      <c r="F84" s="90"/>
      <c r="G84" s="96">
        <v>1374.86</v>
      </c>
      <c r="H84" s="96">
        <v>1448.53</v>
      </c>
      <c r="I84" s="93"/>
      <c r="J84" s="87">
        <f t="shared" si="22"/>
        <v>1493.4344299999998</v>
      </c>
      <c r="K84" s="87">
        <f t="shared" si="23"/>
        <v>1494.8829599999999</v>
      </c>
      <c r="L84" s="87">
        <f t="shared" si="24"/>
        <v>1538.2374628999999</v>
      </c>
      <c r="M84" s="87">
        <f t="shared" si="25"/>
        <v>1542.7192147199999</v>
      </c>
      <c r="N84" s="87">
        <f t="shared" si="26"/>
        <v>1584.384586787</v>
      </c>
      <c r="O84" s="87">
        <f t="shared" si="27"/>
        <v>1592.0862295910399</v>
      </c>
      <c r="P84" s="87">
        <f t="shared" si="28"/>
        <v>1631.9161243906101</v>
      </c>
      <c r="Q84" s="87">
        <f t="shared" si="29"/>
        <v>1643.0329889379532</v>
      </c>
      <c r="R84" s="87">
        <f t="shared" si="30"/>
        <v>1680.8736081223285</v>
      </c>
      <c r="S84" s="87">
        <f t="shared" si="31"/>
        <v>1695.6100445839677</v>
      </c>
      <c r="T84" s="87">
        <f t="shared" si="32"/>
        <v>1731.2998163659984</v>
      </c>
      <c r="U84" s="87">
        <f t="shared" si="33"/>
        <v>1749.8695660106548</v>
      </c>
    </row>
    <row r="85" spans="1:21" ht="17.25" customHeight="1">
      <c r="A85" s="24">
        <v>13</v>
      </c>
      <c r="B85" s="25" t="s">
        <v>98</v>
      </c>
      <c r="C85" s="26" t="s">
        <v>96</v>
      </c>
      <c r="D85" s="28" t="e">
        <f>C85/[2]Мирнинский!C80*13825207.6</f>
        <v>#VALUE!</v>
      </c>
      <c r="E85" s="28">
        <v>2612265</v>
      </c>
      <c r="F85" s="28">
        <v>4315000</v>
      </c>
      <c r="G85" s="95">
        <v>5033000</v>
      </c>
      <c r="H85" s="95">
        <v>5016005</v>
      </c>
      <c r="I85" s="83"/>
      <c r="J85" s="83">
        <f>H85*1.028</f>
        <v>5156453.1399999997</v>
      </c>
      <c r="K85" s="83">
        <f>H85*1.031</f>
        <v>5171501.1549999993</v>
      </c>
      <c r="L85" s="83">
        <f>J85*1.021</f>
        <v>5264738.655939999</v>
      </c>
      <c r="M85" s="83">
        <f>J85*1.031</f>
        <v>5316303.1873399988</v>
      </c>
      <c r="N85" s="83">
        <f>L85*1.021</f>
        <v>5375298.1677147383</v>
      </c>
      <c r="O85" s="83">
        <f>L85*1.031</f>
        <v>5427945.554274139</v>
      </c>
      <c r="P85" s="83">
        <f>N85*1.021</f>
        <v>5488179.4292367473</v>
      </c>
      <c r="Q85" s="83">
        <f>N85*1.031</f>
        <v>5541932.4109138949</v>
      </c>
      <c r="R85" s="83">
        <f>P85*1.021</f>
        <v>5603431.1972507183</v>
      </c>
      <c r="S85" s="83">
        <f>P85*1.031</f>
        <v>5658312.9915430862</v>
      </c>
      <c r="T85" s="83">
        <f>R85*1.021</f>
        <v>5721103.2523929831</v>
      </c>
      <c r="U85" s="83">
        <f>R85*1.031</f>
        <v>5777137.5643654903</v>
      </c>
    </row>
    <row r="86" spans="1:21" hidden="1">
      <c r="A86" s="24"/>
      <c r="B86" s="25" t="s">
        <v>99</v>
      </c>
      <c r="C86" s="26" t="s">
        <v>12</v>
      </c>
      <c r="D86" s="53"/>
      <c r="E86" s="53"/>
      <c r="F86" s="28">
        <f t="shared" ref="F86" si="34">E86*1.054</f>
        <v>0</v>
      </c>
      <c r="G86" s="28">
        <f t="shared" ref="G86" si="35">F86*1.067</f>
        <v>0</v>
      </c>
      <c r="H86" s="28">
        <f t="shared" ref="H86" si="36">G86*1.04</f>
        <v>0</v>
      </c>
      <c r="I86" s="53"/>
      <c r="J86" s="28">
        <f t="shared" ref="J86" si="37">H86*1.036</f>
        <v>0</v>
      </c>
      <c r="K86" s="53"/>
      <c r="L86" s="28">
        <f t="shared" ref="L86" si="38">J86*1.041</f>
        <v>0</v>
      </c>
      <c r="M86" s="53"/>
      <c r="N86" s="28">
        <f t="shared" ref="N86" si="39">L86*1.041</f>
        <v>0</v>
      </c>
      <c r="O86" s="53"/>
      <c r="P86" s="28">
        <f t="shared" ref="P86" si="40">N86*1.041</f>
        <v>0</v>
      </c>
      <c r="Q86" s="53"/>
      <c r="R86" s="28">
        <f t="shared" ref="R86" si="41">P86*1.041</f>
        <v>0</v>
      </c>
      <c r="S86" s="53"/>
      <c r="T86" s="28">
        <f t="shared" ref="T86" si="42">R86*1.041</f>
        <v>0</v>
      </c>
      <c r="U86" s="53"/>
    </row>
    <row r="87" spans="1:21" ht="0.75" customHeight="1">
      <c r="A87" s="24"/>
      <c r="B87" s="25" t="s">
        <v>99</v>
      </c>
      <c r="C87" s="26" t="s">
        <v>12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</row>
    <row r="88" spans="1:21">
      <c r="A88" s="24">
        <v>14</v>
      </c>
      <c r="B88" s="25" t="s">
        <v>100</v>
      </c>
      <c r="C88" s="26" t="s">
        <v>101</v>
      </c>
      <c r="D88" s="39">
        <v>17140.599999999999</v>
      </c>
      <c r="E88" s="39"/>
      <c r="F88" s="39">
        <f>E88/[2]Мирнинский!E84*421451.8</f>
        <v>0</v>
      </c>
      <c r="G88" s="27">
        <f>F88/421451.8*450035.1</f>
        <v>0</v>
      </c>
      <c r="H88" s="27"/>
      <c r="I88" s="27"/>
      <c r="J88" s="27"/>
      <c r="K88" s="27"/>
      <c r="L88" s="27"/>
      <c r="M88" s="27"/>
      <c r="N88" s="27"/>
      <c r="O88" s="27">
        <f>M88/473557.1*498304.1</f>
        <v>0</v>
      </c>
      <c r="P88" s="27">
        <f>N88/479869.7*509073.9</f>
        <v>0</v>
      </c>
      <c r="Q88" s="27">
        <f>O88/473557.1*498304.1</f>
        <v>0</v>
      </c>
      <c r="R88" s="27">
        <f>P88/479869.7*509073.9</f>
        <v>0</v>
      </c>
      <c r="S88" s="27">
        <f>Q88/473557.1*498304.1</f>
        <v>0</v>
      </c>
      <c r="T88" s="27">
        <f>R88/479869.7*509073.9</f>
        <v>0</v>
      </c>
      <c r="U88" s="27">
        <f>S88/473557.1*498304.1</f>
        <v>0</v>
      </c>
    </row>
    <row r="89" spans="1:21" ht="0.75" customHeight="1" thickBot="1">
      <c r="A89" s="29"/>
      <c r="B89" s="30" t="s">
        <v>99</v>
      </c>
      <c r="C89" s="31" t="s">
        <v>12</v>
      </c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21">
      <c r="A90" s="49">
        <v>15</v>
      </c>
      <c r="B90" s="50" t="s">
        <v>102</v>
      </c>
      <c r="C90" s="51" t="s">
        <v>96</v>
      </c>
      <c r="D90" s="65" t="s">
        <v>103</v>
      </c>
      <c r="E90" s="65" t="s">
        <v>103</v>
      </c>
      <c r="F90" s="65" t="s">
        <v>103</v>
      </c>
      <c r="G90" s="98" t="s">
        <v>103</v>
      </c>
      <c r="H90" s="98" t="s">
        <v>103</v>
      </c>
      <c r="I90" s="98" t="s">
        <v>103</v>
      </c>
      <c r="J90" s="98" t="s">
        <v>103</v>
      </c>
      <c r="K90" s="98" t="s">
        <v>103</v>
      </c>
      <c r="L90" s="98" t="s">
        <v>103</v>
      </c>
      <c r="M90" s="98" t="s">
        <v>103</v>
      </c>
      <c r="N90" s="98" t="s">
        <v>103</v>
      </c>
      <c r="O90" s="98" t="s">
        <v>103</v>
      </c>
      <c r="P90" s="98" t="s">
        <v>103</v>
      </c>
      <c r="Q90" s="98" t="s">
        <v>103</v>
      </c>
      <c r="R90" s="98" t="s">
        <v>103</v>
      </c>
      <c r="S90" s="98" t="s">
        <v>103</v>
      </c>
      <c r="T90" s="98" t="s">
        <v>103</v>
      </c>
      <c r="U90" s="98" t="s">
        <v>103</v>
      </c>
    </row>
    <row r="91" spans="1:21" s="59" customFormat="1">
      <c r="A91" s="24">
        <v>16</v>
      </c>
      <c r="B91" s="25" t="s">
        <v>104</v>
      </c>
      <c r="C91" s="26" t="s">
        <v>96</v>
      </c>
      <c r="D91" s="58">
        <v>128006</v>
      </c>
      <c r="E91" s="58">
        <v>138114</v>
      </c>
      <c r="F91" s="58">
        <v>138354</v>
      </c>
      <c r="G91" s="80">
        <v>150862.5</v>
      </c>
      <c r="H91" s="80">
        <v>160114.70000000001</v>
      </c>
      <c r="I91" s="80"/>
      <c r="J91" s="86">
        <v>164999.70000000001</v>
      </c>
      <c r="K91" s="86">
        <f>J91</f>
        <v>164999.70000000001</v>
      </c>
      <c r="L91" s="80">
        <v>170799.1</v>
      </c>
      <c r="M91" s="80">
        <f>L91</f>
        <v>170799.1</v>
      </c>
      <c r="N91" s="80">
        <v>178065.1</v>
      </c>
      <c r="O91" s="80">
        <f t="shared" ref="O91:U91" si="43">N91</f>
        <v>178065.1</v>
      </c>
      <c r="P91" s="80">
        <f>O91*1.004</f>
        <v>178777.36040000001</v>
      </c>
      <c r="Q91" s="80">
        <f t="shared" si="43"/>
        <v>178777.36040000001</v>
      </c>
      <c r="R91" s="80">
        <f>Q91*1.004</f>
        <v>179492.46984160002</v>
      </c>
      <c r="S91" s="80">
        <f>R91</f>
        <v>179492.46984160002</v>
      </c>
      <c r="T91" s="80">
        <f>S91*1.004</f>
        <v>180210.43972096642</v>
      </c>
      <c r="U91" s="80">
        <f t="shared" si="43"/>
        <v>180210.43972096642</v>
      </c>
    </row>
    <row r="92" spans="1:21" s="59" customFormat="1" ht="24">
      <c r="A92" s="24">
        <v>17</v>
      </c>
      <c r="B92" s="25" t="s">
        <v>117</v>
      </c>
      <c r="C92" s="26" t="s">
        <v>96</v>
      </c>
      <c r="D92" s="58">
        <v>267211</v>
      </c>
      <c r="E92" s="58">
        <v>274536</v>
      </c>
      <c r="F92" s="58">
        <v>59225</v>
      </c>
      <c r="G92" s="80">
        <v>28579.200000000001</v>
      </c>
      <c r="H92" s="80">
        <v>108321.4</v>
      </c>
      <c r="I92" s="80"/>
      <c r="J92" s="80">
        <v>8519.4</v>
      </c>
      <c r="K92" s="80">
        <f>J92</f>
        <v>8519.4</v>
      </c>
      <c r="L92" s="80">
        <v>3981.2</v>
      </c>
      <c r="M92" s="80">
        <f>L92</f>
        <v>3981.2</v>
      </c>
      <c r="N92" s="80">
        <f>L92*1.004</f>
        <v>3997.1248000000001</v>
      </c>
      <c r="O92" s="80">
        <f>N92</f>
        <v>3997.1248000000001</v>
      </c>
      <c r="P92" s="80">
        <f>N92*1.004</f>
        <v>4013.1132992000003</v>
      </c>
      <c r="Q92" s="80">
        <f t="shared" ref="Q92" si="44">P92</f>
        <v>4013.1132992000003</v>
      </c>
      <c r="R92" s="80">
        <f t="shared" ref="R92" si="45">P92*1.004</f>
        <v>4029.1657523968001</v>
      </c>
      <c r="S92" s="80">
        <f t="shared" ref="S92" si="46">R92</f>
        <v>4029.1657523968001</v>
      </c>
      <c r="T92" s="80">
        <f t="shared" ref="T92" si="47">R92*1.004</f>
        <v>4045.2824154063874</v>
      </c>
      <c r="U92" s="80">
        <f t="shared" ref="U92" si="48">T92</f>
        <v>4045.2824154063874</v>
      </c>
    </row>
    <row r="93" spans="1:21">
      <c r="A93" s="24">
        <v>18</v>
      </c>
      <c r="B93" s="55" t="s">
        <v>105</v>
      </c>
      <c r="C93" s="26" t="s">
        <v>96</v>
      </c>
      <c r="D93" s="66" t="s">
        <v>103</v>
      </c>
      <c r="E93" s="66" t="s">
        <v>103</v>
      </c>
      <c r="F93" s="66" t="s">
        <v>103</v>
      </c>
      <c r="G93" s="99" t="s">
        <v>103</v>
      </c>
      <c r="H93" s="99" t="s">
        <v>103</v>
      </c>
      <c r="I93" s="99" t="s">
        <v>103</v>
      </c>
      <c r="J93" s="99" t="s">
        <v>103</v>
      </c>
      <c r="K93" s="99" t="s">
        <v>103</v>
      </c>
      <c r="L93" s="99" t="s">
        <v>103</v>
      </c>
      <c r="M93" s="99" t="s">
        <v>103</v>
      </c>
      <c r="N93" s="99" t="s">
        <v>103</v>
      </c>
      <c r="O93" s="99" t="s">
        <v>103</v>
      </c>
      <c r="P93" s="99" t="s">
        <v>103</v>
      </c>
      <c r="Q93" s="99" t="s">
        <v>103</v>
      </c>
      <c r="R93" s="99" t="s">
        <v>103</v>
      </c>
      <c r="S93" s="99" t="s">
        <v>103</v>
      </c>
      <c r="T93" s="99" t="s">
        <v>103</v>
      </c>
      <c r="U93" s="99" t="s">
        <v>103</v>
      </c>
    </row>
    <row r="94" spans="1:21" s="59" customFormat="1">
      <c r="A94" s="24">
        <v>19</v>
      </c>
      <c r="B94" s="55" t="s">
        <v>106</v>
      </c>
      <c r="C94" s="26" t="s">
        <v>96</v>
      </c>
      <c r="D94" s="58">
        <v>421451</v>
      </c>
      <c r="E94" s="58">
        <v>443773</v>
      </c>
      <c r="F94" s="58">
        <v>231786</v>
      </c>
      <c r="G94" s="80">
        <v>212513</v>
      </c>
      <c r="H94" s="80">
        <v>304164.8</v>
      </c>
      <c r="I94" s="80"/>
      <c r="J94" s="80">
        <v>206983.1</v>
      </c>
      <c r="K94" s="80">
        <v>206983.1</v>
      </c>
      <c r="L94" s="80">
        <v>206983.1</v>
      </c>
      <c r="M94" s="80">
        <v>209597</v>
      </c>
      <c r="N94" s="80">
        <v>216863.8</v>
      </c>
      <c r="O94" s="80">
        <v>216863.8</v>
      </c>
      <c r="P94" s="80">
        <f t="shared" ref="P94:U95" si="49">N94*1.004</f>
        <v>217731.25519999999</v>
      </c>
      <c r="Q94" s="80">
        <f t="shared" si="49"/>
        <v>217731.25519999999</v>
      </c>
      <c r="R94" s="80">
        <f t="shared" si="49"/>
        <v>218602.18022079999</v>
      </c>
      <c r="S94" s="80">
        <f t="shared" si="49"/>
        <v>218602.18022079999</v>
      </c>
      <c r="T94" s="80">
        <f t="shared" si="49"/>
        <v>219476.58894168318</v>
      </c>
      <c r="U94" s="80">
        <f t="shared" si="49"/>
        <v>219476.58894168318</v>
      </c>
    </row>
    <row r="95" spans="1:21" s="59" customFormat="1">
      <c r="A95" s="24">
        <v>20</v>
      </c>
      <c r="B95" s="25" t="s">
        <v>107</v>
      </c>
      <c r="C95" s="26" t="s">
        <v>96</v>
      </c>
      <c r="D95" s="58">
        <v>391057</v>
      </c>
      <c r="E95" s="58">
        <v>409025</v>
      </c>
      <c r="F95" s="58">
        <v>273163</v>
      </c>
      <c r="G95" s="80">
        <v>228427.3</v>
      </c>
      <c r="H95" s="80">
        <v>341640.5</v>
      </c>
      <c r="I95" s="58"/>
      <c r="J95" s="80">
        <v>213673.8</v>
      </c>
      <c r="K95" s="80">
        <v>213673.8</v>
      </c>
      <c r="L95" s="80">
        <v>215544.4</v>
      </c>
      <c r="M95" s="80">
        <v>215544.4</v>
      </c>
      <c r="N95" s="80">
        <v>224166.2</v>
      </c>
      <c r="O95" s="80">
        <v>224166.2</v>
      </c>
      <c r="P95" s="80">
        <f t="shared" si="49"/>
        <v>225062.86480000001</v>
      </c>
      <c r="Q95" s="80">
        <f t="shared" si="49"/>
        <v>225062.86480000001</v>
      </c>
      <c r="R95" s="80">
        <f t="shared" si="49"/>
        <v>225963.1162592</v>
      </c>
      <c r="S95" s="80">
        <f t="shared" si="49"/>
        <v>225963.1162592</v>
      </c>
      <c r="T95" s="80">
        <f t="shared" si="49"/>
        <v>226866.96872423679</v>
      </c>
      <c r="U95" s="80">
        <f t="shared" si="49"/>
        <v>226866.96872423679</v>
      </c>
    </row>
    <row r="96" spans="1:21" s="59" customFormat="1">
      <c r="A96" s="24">
        <v>21</v>
      </c>
      <c r="B96" s="25" t="s">
        <v>108</v>
      </c>
      <c r="C96" s="26" t="s">
        <v>12</v>
      </c>
      <c r="D96" s="60">
        <f t="shared" ref="D96" si="50">D92/D95*100</f>
        <v>68.33044799095785</v>
      </c>
      <c r="E96" s="60">
        <f>E92/E95*100</f>
        <v>67.119613715543053</v>
      </c>
      <c r="F96" s="60">
        <f t="shared" ref="F96" si="51">F92/F95*100</f>
        <v>21.681194012366241</v>
      </c>
      <c r="G96" s="60">
        <f t="shared" ref="G96:J96" si="52">G92/G95*100</f>
        <v>12.511289149764499</v>
      </c>
      <c r="H96" s="60">
        <f>H92/H95*100</f>
        <v>31.706252625201049</v>
      </c>
      <c r="I96" s="71" t="e">
        <f t="shared" si="52"/>
        <v>#DIV/0!</v>
      </c>
      <c r="J96" s="60">
        <f t="shared" si="52"/>
        <v>3.9871055786905085</v>
      </c>
      <c r="K96" s="71">
        <f>K92/K95*100</f>
        <v>3.9871055786905085</v>
      </c>
      <c r="L96" s="60">
        <f t="shared" ref="L96" si="53">L92/L95*100</f>
        <v>1.8470440428978903</v>
      </c>
      <c r="M96" s="71">
        <f>M92/M95*100</f>
        <v>1.8470440428978903</v>
      </c>
      <c r="N96" s="60">
        <f t="shared" ref="N96" si="54">N92/N95*100</f>
        <v>1.7831077120457945</v>
      </c>
      <c r="O96" s="71">
        <f>O92/O95*100</f>
        <v>1.7831077120457945</v>
      </c>
      <c r="P96" s="60">
        <f t="shared" ref="P96:R96" si="55">P92/P95*100</f>
        <v>1.7831077120457945</v>
      </c>
      <c r="Q96" s="71">
        <f>Q92/Q95*100</f>
        <v>1.7831077120457945</v>
      </c>
      <c r="R96" s="60">
        <f t="shared" si="55"/>
        <v>1.7831077120457945</v>
      </c>
      <c r="S96" s="71">
        <f>S92/S95*100</f>
        <v>1.7831077120457945</v>
      </c>
      <c r="T96" s="60">
        <f t="shared" ref="T96" si="56">T92/T95*100</f>
        <v>1.7831077120457945</v>
      </c>
      <c r="U96" s="71">
        <f>U92/U95*100</f>
        <v>1.7831077120457945</v>
      </c>
    </row>
    <row r="97" spans="1:21" s="78" customFormat="1" ht="13.5" thickBot="1">
      <c r="A97" s="74">
        <v>22</v>
      </c>
      <c r="B97" s="75" t="s">
        <v>109</v>
      </c>
      <c r="C97" s="76" t="s">
        <v>96</v>
      </c>
      <c r="D97" s="77">
        <v>7636900</v>
      </c>
      <c r="E97" s="77">
        <v>15132320</v>
      </c>
      <c r="F97" s="77">
        <v>30981</v>
      </c>
      <c r="G97" s="77">
        <v>1773601</v>
      </c>
      <c r="H97" s="77">
        <v>2824301</v>
      </c>
      <c r="I97" s="77"/>
      <c r="J97" s="77">
        <v>3241160</v>
      </c>
      <c r="K97" s="77">
        <v>3241160</v>
      </c>
      <c r="L97" s="77">
        <v>1545485</v>
      </c>
      <c r="M97" s="77">
        <v>1545485</v>
      </c>
      <c r="N97" s="77"/>
      <c r="O97" s="77"/>
      <c r="P97" s="77"/>
      <c r="Q97" s="77"/>
      <c r="R97" s="77"/>
      <c r="S97" s="77"/>
      <c r="T97" s="77"/>
      <c r="U97" s="77"/>
    </row>
    <row r="99" spans="1:21">
      <c r="D99" s="56"/>
      <c r="E99" s="56"/>
      <c r="F99" s="56"/>
      <c r="G99" s="56"/>
      <c r="H99" s="56"/>
      <c r="I99" s="56"/>
      <c r="J99" s="56"/>
      <c r="K99" s="56"/>
    </row>
  </sheetData>
  <mergeCells count="12">
    <mergeCell ref="B7:Q7"/>
    <mergeCell ref="J8:K8"/>
    <mergeCell ref="J9:K9"/>
    <mergeCell ref="A9:A10"/>
    <mergeCell ref="B9:B10"/>
    <mergeCell ref="C9:C10"/>
    <mergeCell ref="H9:I9"/>
    <mergeCell ref="R9:S9"/>
    <mergeCell ref="L9:M9"/>
    <mergeCell ref="N9:O9"/>
    <mergeCell ref="P9:Q9"/>
    <mergeCell ref="T9:U9"/>
  </mergeCells>
  <pageMargins left="0.19685039370078741" right="0.19685039370078741" top="0.11811023622047245" bottom="0.15748031496062992" header="0.11811023622047245" footer="0.15748031496062992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5"/>
  <sheetViews>
    <sheetView workbookViewId="0">
      <selection activeCell="C6" sqref="C6"/>
    </sheetView>
  </sheetViews>
  <sheetFormatPr defaultRowHeight="15"/>
  <sheetData>
    <row r="3" spans="3:3" ht="15.75">
      <c r="C3" s="79">
        <v>123731.3</v>
      </c>
    </row>
    <row r="5" spans="3:3">
      <c r="C5">
        <f>125629.4*100/123731</f>
        <v>101.53429617476623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Коханенко Лариса Борисовна</dc:creator>
  <cp:lastModifiedBy>new</cp:lastModifiedBy>
  <cp:lastPrinted>2021-10-20T08:24:58Z</cp:lastPrinted>
  <dcterms:created xsi:type="dcterms:W3CDTF">2016-09-16T01:03:53Z</dcterms:created>
  <dcterms:modified xsi:type="dcterms:W3CDTF">2021-10-20T08:26:24Z</dcterms:modified>
</cp:coreProperties>
</file>