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0" windowWidth="14085" windowHeight="124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Лист1!$A$1:$S$98</definedName>
  </definedNames>
  <calcPr calcId="124519"/>
</workbook>
</file>

<file path=xl/calcChain.xml><?xml version="1.0" encoding="utf-8"?>
<calcChain xmlns="http://schemas.openxmlformats.org/spreadsheetml/2006/main">
  <c r="R60" i="1"/>
  <c r="Q56"/>
  <c r="P60"/>
  <c r="L16" l="1"/>
  <c r="L13"/>
  <c r="R12"/>
  <c r="P12"/>
  <c r="N12"/>
  <c r="L12"/>
  <c r="G13"/>
  <c r="H13"/>
  <c r="R98" l="1"/>
  <c r="S97"/>
  <c r="R96"/>
  <c r="R95"/>
  <c r="R93"/>
  <c r="R97" s="1"/>
  <c r="R92"/>
  <c r="S89"/>
  <c r="R89"/>
  <c r="R87"/>
  <c r="R86"/>
  <c r="R85"/>
  <c r="S64"/>
  <c r="R64"/>
  <c r="R62"/>
  <c r="R61"/>
  <c r="R59"/>
  <c r="R58"/>
  <c r="R57"/>
  <c r="R30"/>
  <c r="R14"/>
  <c r="R19" s="1"/>
  <c r="R22" l="1"/>
  <c r="R20"/>
  <c r="R16"/>
  <c r="R15"/>
  <c r="F56" l="1"/>
  <c r="G56" l="1"/>
  <c r="P96" l="1"/>
  <c r="N96"/>
  <c r="L96"/>
  <c r="J95" l="1"/>
  <c r="H95"/>
  <c r="P92" l="1"/>
  <c r="N92"/>
  <c r="L92"/>
  <c r="J92" l="1"/>
  <c r="H93"/>
  <c r="H92"/>
  <c r="J14" l="1"/>
  <c r="J16" s="1"/>
  <c r="H14"/>
  <c r="H16" s="1"/>
  <c r="G14"/>
  <c r="G16" s="1"/>
  <c r="F14"/>
  <c r="F19" s="1"/>
  <c r="F87"/>
  <c r="G87" s="1"/>
  <c r="H87" s="1"/>
  <c r="J87" s="1"/>
  <c r="L87" s="1"/>
  <c r="N87" s="1"/>
  <c r="P87" s="1"/>
  <c r="F86"/>
  <c r="G86" s="1"/>
  <c r="H86" s="1"/>
  <c r="J86" s="1"/>
  <c r="L86" s="1"/>
  <c r="N86" s="1"/>
  <c r="P86" s="1"/>
  <c r="H85"/>
  <c r="J85" s="1"/>
  <c r="L85" s="1"/>
  <c r="N85" s="1"/>
  <c r="P85" s="1"/>
  <c r="G57"/>
  <c r="H57" s="1"/>
  <c r="J57" s="1"/>
  <c r="L57" s="1"/>
  <c r="N57" s="1"/>
  <c r="P57" s="1"/>
  <c r="G58"/>
  <c r="H58" s="1"/>
  <c r="J58" s="1"/>
  <c r="L58" s="1"/>
  <c r="N58" s="1"/>
  <c r="P58" s="1"/>
  <c r="G59"/>
  <c r="H59" s="1"/>
  <c r="J59" s="1"/>
  <c r="L59" s="1"/>
  <c r="N59" s="1"/>
  <c r="P59" s="1"/>
  <c r="G61"/>
  <c r="H61" s="1"/>
  <c r="J61" s="1"/>
  <c r="L61" s="1"/>
  <c r="N61" s="1"/>
  <c r="P61" s="1"/>
  <c r="G62"/>
  <c r="H62" s="1"/>
  <c r="J62" s="1"/>
  <c r="L62" s="1"/>
  <c r="N62" s="1"/>
  <c r="P62" s="1"/>
  <c r="O56"/>
  <c r="M56"/>
  <c r="K56"/>
  <c r="I56"/>
  <c r="G63"/>
  <c r="G60"/>
  <c r="H60" s="1"/>
  <c r="G55"/>
  <c r="J30"/>
  <c r="L30" s="1"/>
  <c r="N30" s="1"/>
  <c r="P30" s="1"/>
  <c r="H98"/>
  <c r="J98" s="1"/>
  <c r="L98" s="1"/>
  <c r="N98" s="1"/>
  <c r="P98" s="1"/>
  <c r="P93"/>
  <c r="N93"/>
  <c r="L93"/>
  <c r="J60" l="1"/>
  <c r="L60" s="1"/>
  <c r="N60" s="1"/>
  <c r="J13"/>
  <c r="N13" s="1"/>
  <c r="P13" s="1"/>
  <c r="R13" s="1"/>
  <c r="H55"/>
  <c r="J55" s="1"/>
  <c r="L55" s="1"/>
  <c r="N55" s="1"/>
  <c r="P55" s="1"/>
  <c r="R55" s="1"/>
  <c r="H63"/>
  <c r="J63" s="1"/>
  <c r="L63" s="1"/>
  <c r="N63" s="1"/>
  <c r="P63" s="1"/>
  <c r="R63" s="1"/>
  <c r="F16"/>
  <c r="L14"/>
  <c r="N14" l="1"/>
  <c r="E97"/>
  <c r="N16" l="1"/>
  <c r="P14"/>
  <c r="P16" s="1"/>
  <c r="E14" l="1"/>
  <c r="E19" s="1"/>
  <c r="F23"/>
  <c r="E23"/>
  <c r="E16" l="1"/>
  <c r="Q97"/>
  <c r="P89"/>
  <c r="Q64"/>
  <c r="P64"/>
  <c r="P19"/>
  <c r="P22" s="1"/>
  <c r="P15"/>
  <c r="O97"/>
  <c r="O89"/>
  <c r="Q89" s="1"/>
  <c r="O64"/>
  <c r="N64"/>
  <c r="N19"/>
  <c r="N22" s="1"/>
  <c r="N15"/>
  <c r="M97"/>
  <c r="M64"/>
  <c r="L64"/>
  <c r="L19"/>
  <c r="L22" s="1"/>
  <c r="L15"/>
  <c r="N20" l="1"/>
  <c r="P20"/>
  <c r="L20"/>
  <c r="R23" l="1"/>
  <c r="S23" s="1"/>
  <c r="D97"/>
  <c r="D85"/>
  <c r="D64"/>
  <c r="D22"/>
  <c r="D15"/>
  <c r="F97"/>
  <c r="D20" l="1"/>
  <c r="K97"/>
  <c r="J97"/>
  <c r="I97"/>
  <c r="H97"/>
  <c r="G97"/>
  <c r="F89"/>
  <c r="G89" s="1"/>
  <c r="K64"/>
  <c r="J64"/>
  <c r="I64"/>
  <c r="H64"/>
  <c r="G64"/>
  <c r="F64"/>
  <c r="E64"/>
  <c r="C31"/>
  <c r="B31"/>
  <c r="J19"/>
  <c r="J22" s="1"/>
  <c r="H19"/>
  <c r="H22" s="1"/>
  <c r="G19"/>
  <c r="G22" s="1"/>
  <c r="F22"/>
  <c r="E20"/>
  <c r="J15"/>
  <c r="H15"/>
  <c r="G15"/>
  <c r="F15"/>
  <c r="E15"/>
  <c r="H20" l="1"/>
  <c r="G20"/>
  <c r="E22"/>
  <c r="J20"/>
  <c r="F20"/>
  <c r="P95" l="1"/>
  <c r="L95" l="1"/>
  <c r="N95"/>
  <c r="N97"/>
  <c r="L97"/>
  <c r="P97" l="1"/>
</calcChain>
</file>

<file path=xl/sharedStrings.xml><?xml version="1.0" encoding="utf-8"?>
<sst xmlns="http://schemas.openxmlformats.org/spreadsheetml/2006/main" count="225" uniqueCount="120">
  <si>
    <t>j5:j6</t>
  </si>
  <si>
    <t>№ стр.</t>
  </si>
  <si>
    <t>Единица измерения</t>
  </si>
  <si>
    <t>отчет</t>
  </si>
  <si>
    <t>оценка</t>
  </si>
  <si>
    <t>прогноз - 1 вариант</t>
  </si>
  <si>
    <t>прогноз - 2 вариант</t>
  </si>
  <si>
    <t>Cреднегодовая численность населения</t>
  </si>
  <si>
    <t>человек</t>
  </si>
  <si>
    <t>Среднегодовая 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</si>
  <si>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</si>
  <si>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</si>
  <si>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</si>
  <si>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>Численность занятых на предприятиях и организациях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</si>
  <si>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</si>
  <si>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</si>
  <si>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</si>
  <si>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</si>
  <si>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</si>
  <si>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</si>
  <si>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</si>
  <si>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</si>
  <si>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</si>
  <si>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</si>
  <si>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</si>
  <si>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</si>
  <si>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</si>
  <si>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</si>
  <si>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</si>
  <si>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</si>
  <si>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</si>
  <si>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</si>
  <si>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</si>
  <si>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</si>
  <si>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</si>
  <si>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</si>
  <si>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</si>
  <si>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</si>
  <si>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</si>
  <si>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</si>
  <si>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</si>
  <si>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</si>
  <si>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</si>
  <si>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</si>
  <si>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</si>
  <si>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</si>
  <si>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</si>
  <si>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</si>
  <si>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</si>
  <si>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</si>
  <si>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</si>
  <si>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</si>
  <si>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</si>
  <si>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</si>
  <si>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</si>
  <si>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</si>
  <si>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</si>
  <si>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</si>
  <si>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</si>
  <si>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</si>
  <si>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</si>
  <si>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</si>
  <si>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</si>
  <si>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</si>
  <si>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</si>
  <si>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>Цельномолочная продукция (в пересчете на молоко)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</si>
  <si>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</si>
  <si>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</si>
  <si>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</si>
  <si>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</si>
  <si>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</si>
  <si>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</si>
  <si>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</si>
  <si>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</si>
  <si>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</si>
  <si>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 xml:space="preserve"> Выпуск продукции  сельского хозяйства  в действующих ценах</t>
  </si>
  <si>
    <t>млн. руб.</t>
  </si>
  <si>
    <t xml:space="preserve">   в том числе    общественного сектора</t>
  </si>
  <si>
    <t xml:space="preserve">                          крестьянских хоз-в и родовых общин</t>
  </si>
  <si>
    <t xml:space="preserve">                          хозяйств населения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</si>
  <si>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</si>
  <si>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</si>
  <si>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</si>
  <si>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</si>
  <si>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</si>
  <si>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</si>
  <si>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</si>
  <si>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</si>
  <si>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</si>
  <si>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</si>
  <si>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</si>
  <si>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</si>
  <si>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</si>
  <si>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</si>
  <si>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</si>
  <si>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</si>
  <si>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</si>
  <si>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Объем отгруженных товаров собственного производства, выполненных работ и услуг собственными силами (в действующих ценах без НДС и акциза)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</si>
  <si>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</si>
  <si>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</si>
  <si>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</si>
  <si>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</si>
  <si>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>Платные услуги населению в действующих ценах</t>
  </si>
  <si>
    <t xml:space="preserve">Производство потребительских товаров  в действующих ценах </t>
  </si>
  <si>
    <t>тыс.руб</t>
  </si>
  <si>
    <t>Налоговые доходы по всем уровням</t>
  </si>
  <si>
    <t>х</t>
  </si>
  <si>
    <t>Налоговые доходы местного бюджета</t>
  </si>
  <si>
    <t>Средства, передаваемые на безвозмездной и безвозвратных основах (дотация)</t>
  </si>
  <si>
    <t>Всего доходов по территории</t>
  </si>
  <si>
    <t>Всего доходов местного бюджета</t>
  </si>
  <si>
    <t>Расходы местного бюджета</t>
  </si>
  <si>
    <t xml:space="preserve"> % дотации в местном бюджете</t>
  </si>
  <si>
    <t>Инвестиции за счет всех источников</t>
  </si>
  <si>
    <t>Приложение № 1</t>
  </si>
  <si>
    <t>к постановлению главы города</t>
  </si>
  <si>
    <t>млн. $</t>
  </si>
  <si>
    <t>794,,55</t>
  </si>
  <si>
    <t>Основные прогнозные показатели социально-экономического развития МО "Город Удачный" на 2020 год и плановый период 2021-2025 годы</t>
  </si>
  <si>
    <r>
      <t xml:space="preserve">№ </t>
    </r>
    <r>
      <rPr>
        <u/>
        <sz val="10"/>
        <rFont val="Arial"/>
        <family val="2"/>
        <charset val="204"/>
      </rPr>
      <t xml:space="preserve">509 </t>
    </r>
    <r>
      <rPr>
        <sz val="10"/>
        <rFont val="Arial"/>
        <family val="2"/>
        <charset val="204"/>
      </rPr>
      <t xml:space="preserve">от " </t>
    </r>
    <r>
      <rPr>
        <u/>
        <sz val="10"/>
        <rFont val="Arial"/>
        <family val="2"/>
        <charset val="204"/>
      </rPr>
      <t>27</t>
    </r>
    <r>
      <rPr>
        <sz val="10"/>
        <rFont val="Arial"/>
        <family val="2"/>
        <charset val="204"/>
      </rPr>
      <t xml:space="preserve">" </t>
    </r>
    <r>
      <rPr>
        <u/>
        <sz val="10"/>
        <rFont val="Arial"/>
        <family val="2"/>
        <charset val="204"/>
      </rPr>
      <t>сентября</t>
    </r>
    <r>
      <rPr>
        <sz val="10"/>
        <rFont val="Arial"/>
        <family val="2"/>
        <charset val="204"/>
      </rPr>
      <t xml:space="preserve"> 2019 г.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</si>
</sst>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9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color indexed="8"/>
      <name val="Arial Cyr"/>
      <charset val="1"/>
    </font>
    <font>
      <sz val="9"/>
      <color indexed="8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Times New Roman CYR"/>
      <charset val="204"/>
    </font>
    <font>
      <sz val="9"/>
      <color indexed="8"/>
      <name val="Arial Cyr"/>
      <family val="2"/>
      <charset val="204"/>
    </font>
    <font>
      <sz val="10"/>
      <color rgb="FFFF0000"/>
      <name val="Arial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Arial"/>
      <family val="2"/>
      <charset val="204"/>
    </font>
    <font>
      <u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Font="1" applyFill="1" applyProtection="1"/>
    <xf numFmtId="0" fontId="1" fillId="0" borderId="0" xfId="1" applyAlignment="1" applyProtection="1">
      <alignment wrapText="1"/>
    </xf>
    <xf numFmtId="0" fontId="1" fillId="0" borderId="0" xfId="1" applyProtection="1"/>
    <xf numFmtId="0" fontId="4" fillId="0" borderId="0" xfId="1" applyFont="1" applyFill="1" applyAlignment="1" applyProtection="1">
      <alignment horizontal="left" vertical="top"/>
    </xf>
    <xf numFmtId="0" fontId="3" fillId="0" borderId="0" xfId="1" applyFont="1" applyFill="1" applyAlignment="1" applyProtection="1">
      <alignment horizontal="left" vertical="top"/>
    </xf>
    <xf numFmtId="0" fontId="5" fillId="0" borderId="0" xfId="1" applyFont="1" applyFill="1" applyAlignment="1" applyProtection="1">
      <alignment horizontal="center" vertical="top" wrapText="1"/>
      <protection hidden="1"/>
    </xf>
    <xf numFmtId="0" fontId="6" fillId="0" borderId="0" xfId="1" applyFont="1" applyFill="1" applyBorder="1" applyAlignment="1" applyProtection="1">
      <alignment horizontal="right" vertical="top"/>
    </xf>
    <xf numFmtId="0" fontId="6" fillId="0" borderId="0" xfId="1" applyFont="1" applyFill="1" applyBorder="1" applyAlignment="1" applyProtection="1">
      <alignment horizontal="right" vertical="top"/>
      <protection locked="0"/>
    </xf>
    <xf numFmtId="0" fontId="9" fillId="0" borderId="4" xfId="1" applyFont="1" applyFill="1" applyBorder="1" applyAlignment="1" applyProtection="1">
      <alignment horizontal="center" vertical="center" wrapText="1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2" borderId="16" xfId="1" applyFont="1" applyFill="1" applyBorder="1" applyAlignment="1" applyProtection="1">
      <alignment horizontal="center" vertical="center"/>
    </xf>
    <xf numFmtId="0" fontId="8" fillId="2" borderId="17" xfId="1" applyFont="1" applyFill="1" applyBorder="1" applyAlignment="1" applyProtection="1">
      <alignment horizontal="left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3" fontId="10" fillId="4" borderId="17" xfId="1" applyNumberFormat="1" applyFont="1" applyFill="1" applyBorder="1" applyAlignment="1" applyProtection="1"/>
    <xf numFmtId="4" fontId="10" fillId="4" borderId="18" xfId="1" applyNumberFormat="1" applyFont="1" applyFill="1" applyBorder="1" applyAlignment="1" applyProtection="1"/>
    <xf numFmtId="4" fontId="11" fillId="4" borderId="18" xfId="1" applyNumberFormat="1" applyFont="1" applyFill="1" applyBorder="1" applyAlignment="1" applyProtection="1"/>
    <xf numFmtId="0" fontId="7" fillId="0" borderId="19" xfId="1" applyFont="1" applyFill="1" applyBorder="1" applyAlignment="1" applyProtection="1">
      <alignment horizontal="center" vertical="center"/>
    </xf>
    <xf numFmtId="0" fontId="8" fillId="0" borderId="20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3" fontId="10" fillId="5" borderId="20" xfId="1" applyNumberFormat="1" applyFont="1" applyFill="1" applyBorder="1" applyAlignment="1" applyProtection="1"/>
    <xf numFmtId="4" fontId="10" fillId="5" borderId="20" xfId="1" applyNumberFormat="1" applyFont="1" applyFill="1" applyBorder="1" applyAlignment="1" applyProtection="1"/>
    <xf numFmtId="0" fontId="7" fillId="0" borderId="22" xfId="1" applyFont="1" applyFill="1" applyBorder="1" applyAlignment="1" applyProtection="1">
      <alignment horizontal="center" vertical="center"/>
    </xf>
    <xf numFmtId="0" fontId="8" fillId="0" borderId="23" xfId="1" applyFont="1" applyFill="1" applyBorder="1" applyAlignment="1" applyProtection="1">
      <alignment horizontal="left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/>
    </xf>
    <xf numFmtId="0" fontId="9" fillId="2" borderId="26" xfId="1" applyFont="1" applyFill="1" applyBorder="1" applyAlignment="1" applyProtection="1">
      <alignment horizontal="left" vertical="center" wrapText="1"/>
    </xf>
    <xf numFmtId="0" fontId="7" fillId="3" borderId="26" xfId="1" applyFont="1" applyFill="1" applyBorder="1" applyAlignment="1" applyProtection="1">
      <alignment horizontal="center" vertical="center" wrapText="1"/>
    </xf>
    <xf numFmtId="4" fontId="3" fillId="3" borderId="26" xfId="1" applyNumberFormat="1" applyFont="1" applyFill="1" applyBorder="1" applyAlignment="1" applyProtection="1"/>
    <xf numFmtId="0" fontId="3" fillId="6" borderId="20" xfId="1" applyFont="1" applyFill="1" applyBorder="1" applyAlignment="1">
      <alignment horizontal="left" vertical="center" wrapText="1"/>
    </xf>
    <xf numFmtId="0" fontId="3" fillId="6" borderId="20" xfId="1" applyFont="1" applyFill="1" applyBorder="1" applyAlignment="1">
      <alignment horizontal="center" vertical="center" wrapText="1"/>
    </xf>
    <xf numFmtId="164" fontId="3" fillId="6" borderId="20" xfId="1" applyNumberFormat="1" applyFont="1" applyFill="1" applyBorder="1" applyAlignment="1" applyProtection="1"/>
    <xf numFmtId="164" fontId="10" fillId="5" borderId="20" xfId="1" applyNumberFormat="1" applyFont="1" applyFill="1" applyBorder="1" applyAlignment="1" applyProtection="1"/>
    <xf numFmtId="164" fontId="11" fillId="5" borderId="20" xfId="1" applyNumberFormat="1" applyFont="1" applyFill="1" applyBorder="1" applyAlignment="1" applyProtection="1"/>
    <xf numFmtId="0" fontId="3" fillId="6" borderId="20" xfId="1" applyFont="1" applyFill="1" applyBorder="1" applyAlignment="1" applyProtection="1">
      <alignment horizontal="left" vertical="center" wrapText="1"/>
      <protection locked="0"/>
    </xf>
    <xf numFmtId="0" fontId="3" fillId="6" borderId="20" xfId="1" applyFont="1" applyFill="1" applyBorder="1" applyAlignment="1" applyProtection="1">
      <alignment horizontal="center" vertical="center" wrapText="1"/>
      <protection locked="0"/>
    </xf>
    <xf numFmtId="0" fontId="13" fillId="3" borderId="17" xfId="1" applyFont="1" applyFill="1" applyBorder="1" applyAlignment="1" applyProtection="1">
      <alignment horizontal="center" vertical="center" wrapText="1"/>
    </xf>
    <xf numFmtId="164" fontId="10" fillId="5" borderId="17" xfId="1" applyNumberFormat="1" applyFont="1" applyFill="1" applyBorder="1" applyAlignment="1" applyProtection="1"/>
    <xf numFmtId="0" fontId="13" fillId="0" borderId="20" xfId="1" applyFont="1" applyFill="1" applyBorder="1" applyAlignment="1" applyProtection="1">
      <alignment horizontal="center" vertical="center" wrapText="1"/>
    </xf>
    <xf numFmtId="0" fontId="7" fillId="2" borderId="19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 applyProtection="1">
      <alignment horizontal="left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4" fontId="10" fillId="7" borderId="20" xfId="1" applyNumberFormat="1" applyFont="1" applyFill="1" applyBorder="1" applyAlignment="1" applyProtection="1"/>
    <xf numFmtId="164" fontId="11" fillId="5" borderId="23" xfId="1" applyNumberFormat="1" applyFont="1" applyFill="1" applyBorder="1" applyAlignment="1" applyProtection="1"/>
    <xf numFmtId="0" fontId="7" fillId="0" borderId="16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4" fontId="10" fillId="5" borderId="17" xfId="1" applyNumberFormat="1" applyFont="1" applyFill="1" applyBorder="1" applyAlignment="1" applyProtection="1"/>
    <xf numFmtId="3" fontId="11" fillId="5" borderId="20" xfId="1" applyNumberFormat="1" applyFont="1" applyFill="1" applyBorder="1" applyAlignment="1" applyProtection="1"/>
    <xf numFmtId="3" fontId="11" fillId="5" borderId="23" xfId="1" applyNumberFormat="1" applyFont="1" applyFill="1" applyBorder="1" applyAlignment="1" applyProtection="1"/>
    <xf numFmtId="0" fontId="15" fillId="0" borderId="20" xfId="1" applyFont="1" applyFill="1" applyBorder="1" applyAlignment="1" applyProtection="1">
      <alignment horizontal="left" vertical="center" wrapText="1"/>
    </xf>
    <xf numFmtId="3" fontId="14" fillId="0" borderId="0" xfId="1" applyNumberFormat="1" applyFont="1" applyProtection="1"/>
    <xf numFmtId="164" fontId="10" fillId="5" borderId="14" xfId="1" applyNumberFormat="1" applyFont="1" applyFill="1" applyBorder="1" applyAlignment="1" applyProtection="1"/>
    <xf numFmtId="3" fontId="10" fillId="0" borderId="20" xfId="1" applyNumberFormat="1" applyFont="1" applyFill="1" applyBorder="1" applyAlignment="1" applyProtection="1"/>
    <xf numFmtId="4" fontId="10" fillId="0" borderId="21" xfId="1" applyNumberFormat="1" applyFont="1" applyFill="1" applyBorder="1" applyAlignment="1" applyProtection="1"/>
    <xf numFmtId="4" fontId="11" fillId="0" borderId="21" xfId="1" applyNumberFormat="1" applyFont="1" applyFill="1" applyBorder="1" applyAlignment="1" applyProtection="1"/>
    <xf numFmtId="0" fontId="1" fillId="0" borderId="0" xfId="1" applyFill="1" applyProtection="1"/>
    <xf numFmtId="4" fontId="10" fillId="0" borderId="20" xfId="1" applyNumberFormat="1" applyFont="1" applyFill="1" applyBorder="1" applyAlignment="1" applyProtection="1"/>
    <xf numFmtId="2" fontId="12" fillId="0" borderId="24" xfId="0" applyNumberFormat="1" applyFont="1" applyFill="1" applyBorder="1" applyAlignment="1" applyProtection="1">
      <alignment horizontal="center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center" vertical="center" wrapText="1"/>
    </xf>
    <xf numFmtId="164" fontId="10" fillId="0" borderId="20" xfId="1" applyNumberFormat="1" applyFont="1" applyFill="1" applyBorder="1" applyAlignment="1" applyProtection="1"/>
    <xf numFmtId="0" fontId="7" fillId="0" borderId="27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left" vertical="center" wrapText="1"/>
    </xf>
    <xf numFmtId="0" fontId="7" fillId="0" borderId="28" xfId="1" applyFont="1" applyFill="1" applyBorder="1" applyAlignment="1" applyProtection="1">
      <alignment horizontal="center" vertical="center" wrapText="1"/>
    </xf>
    <xf numFmtId="164" fontId="10" fillId="0" borderId="28" xfId="1" applyNumberFormat="1" applyFont="1" applyFill="1" applyBorder="1" applyAlignment="1" applyProtection="1"/>
    <xf numFmtId="0" fontId="1" fillId="5" borderId="17" xfId="1" applyFont="1" applyFill="1" applyBorder="1" applyAlignment="1" applyProtection="1">
      <alignment horizontal="right"/>
    </xf>
    <xf numFmtId="0" fontId="1" fillId="5" borderId="20" xfId="1" applyFont="1" applyFill="1" applyBorder="1" applyAlignment="1" applyProtection="1">
      <alignment horizontal="right"/>
    </xf>
    <xf numFmtId="4" fontId="3" fillId="3" borderId="29" xfId="1" applyNumberFormat="1" applyFont="1" applyFill="1" applyBorder="1" applyAlignment="1" applyProtection="1"/>
    <xf numFmtId="43" fontId="12" fillId="0" borderId="24" xfId="2" applyFont="1" applyFill="1" applyBorder="1" applyAlignment="1" applyProtection="1">
      <alignment horizontal="center" vertical="center" wrapText="1"/>
    </xf>
    <xf numFmtId="164" fontId="10" fillId="0" borderId="20" xfId="1" applyNumberFormat="1" applyFont="1" applyFill="1" applyBorder="1" applyAlignment="1" applyProtection="1">
      <alignment horizontal="right"/>
    </xf>
    <xf numFmtId="166" fontId="17" fillId="5" borderId="20" xfId="1" applyNumberFormat="1" applyFont="1" applyFill="1" applyBorder="1" applyAlignment="1" applyProtection="1"/>
    <xf numFmtId="165" fontId="17" fillId="5" borderId="20" xfId="1" applyNumberFormat="1" applyFont="1" applyFill="1" applyBorder="1" applyAlignment="1" applyProtection="1"/>
    <xf numFmtId="4" fontId="17" fillId="0" borderId="20" xfId="1" applyNumberFormat="1" applyFont="1" applyFill="1" applyBorder="1" applyAlignment="1" applyProtection="1"/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Protection="1"/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2;&#1077;&#1090;%20&#1087;&#1086;&#1089;&#1077;&#1083;&#1077;&#1085;&#1080;&#1081;_16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3;&#1053;&#1054;&#1047;%20&#1085;&#1072;%202017%20&#1075;&#1086;&#1076;/&#1052;&#1040;&#1050;&#1045;&#1058;&#1067;/&#1052;&#1040;&#1050;&#1045;&#1058;_&#1058;&#1072;&#1073;&#1083;&#1080;&#1094;&#1072;%201_&#1087;&#1086;&#1089;&#1077;&#1083;&#1077;&#1085;&#1080;&#1103;%20&#1086;&#1090;%2013.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1055;&#1056;&#1054;&#1043;&#1053;&#1054;&#1047;%20&#1053;&#1040;%20%202019%20&#1075;&#1086;&#1076;/&#1059;&#1069;&#1056;/09.08.18/&#1040;&#1085;&#1072;&#1083;&#1080;&#1079;%20%20&#1048;&#1089;&#1087;&#1086;&#1083;&#1085;&#1077;&#1085;&#1080;&#1103;%20&#1076;&#1086;&#1093;&#1086;&#1076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2019%20&#1075;&#1086;&#1076;/&#1044;&#1086;&#1093;&#1086;&#1076;&#1099;%202019-2021%20&#1075;&#1086;&#1076;&#109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9.11.2018/&#1055;&#1056;&#1054;&#1043;&#1053;&#1054;&#1047;%20&#1053;&#1040;%20%202019%20&#1075;&#1086;&#1076;/&#1044;&#1086;&#1093;&#1086;&#1076;&#1099;%202019-2024%20&#1075;&#1086;&#1076;&#1099;%20(11.11.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&#1055;&#1056;&#1054;&#1043;&#1053;&#1054;&#1047;%20&#1053;&#1040;%20%202019%20&#1075;&#1086;&#1076;/&#1044;&#1086;&#1093;&#1086;&#1076;&#1099;%20,%20&#1088;&#1072;&#1089;&#1093;&#1086;&#1076;&#1099;%202019-2021%20&#1075;&#1086;&#1076;&#1099;%20(12.11.18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-1 (свод) 2017"/>
      <sheetName val="3-1 (свод) 2018"/>
      <sheetName val="3-1 (свод) 2019"/>
      <sheetName val="3-1 (свод)2020"/>
      <sheetName val="3-1 (свод) 2020"/>
      <sheetName val="3-1 (свод) 2021"/>
      <sheetName val="3-1 (свод)2021"/>
      <sheetName val="8 (свод)2017"/>
      <sheetName val="8 (свод)2018"/>
      <sheetName val="8 (свод)2019(1в)"/>
      <sheetName val="8 (свод)2019(2в)"/>
      <sheetName val="8 (свод)2020(1в)"/>
      <sheetName val="8 (свод)2020(2в)"/>
      <sheetName val="8 (свод)2021(1в)"/>
      <sheetName val="8 (свод)2021(2в)"/>
      <sheetName val="8 (свод) 2020 (1)"/>
      <sheetName val="8 (свод) 2020 (2)"/>
      <sheetName val="8 (свод) 2021 (1)"/>
      <sheetName val="8 (свод) 2021 (2)"/>
      <sheetName val="3-1 (МО)"/>
      <sheetName val="6 (МО)"/>
      <sheetName val="8 (МО)"/>
      <sheetName val="3-1 (адм центр)"/>
      <sheetName val="6 (адм центр)"/>
      <sheetName val="8 (адм центр)"/>
      <sheetName val="3-1 (2)"/>
      <sheetName val="6 (2)"/>
      <sheetName val="8 (2)"/>
      <sheetName val="3-1 (3)"/>
      <sheetName val="6 (3)"/>
      <sheetName val="8 (3)"/>
      <sheetName val="3-1 (4)"/>
      <sheetName val="6 (4)"/>
      <sheetName val="8 (4)"/>
      <sheetName val="3-1 (5)"/>
      <sheetName val="6 (5)"/>
      <sheetName val="8 (5)"/>
      <sheetName val="3-1 (6)"/>
      <sheetName val="6 (6)"/>
      <sheetName val="8 (6)"/>
      <sheetName val="3-1 (7)"/>
      <sheetName val="6 (7)"/>
      <sheetName val="8 (7)"/>
      <sheetName val="3-1 (8)"/>
      <sheetName val="6 (8)"/>
      <sheetName val="8 (8)"/>
      <sheetName val="3-1 (9)"/>
      <sheetName val="6 (9)"/>
      <sheetName val="8 (9)"/>
      <sheetName val="3-1 (10)"/>
      <sheetName val="6 (10)"/>
      <sheetName val="8 (10)"/>
      <sheetName val="3-1 (11)"/>
      <sheetName val="6 (11)"/>
      <sheetName val="8 (11)"/>
      <sheetName val="3-1 (12)"/>
      <sheetName val="6 (12)"/>
      <sheetName val="8 (12)"/>
      <sheetName val="3-1 (13)"/>
      <sheetName val="6 (13)"/>
      <sheetName val="8 (13)"/>
      <sheetName val="3-1 (14)"/>
      <sheetName val="6 (14)"/>
      <sheetName val="8 (14)"/>
      <sheetName val="3-1 (15)"/>
      <sheetName val="6 (15)"/>
      <sheetName val="8 (15)"/>
      <sheetName val="3-1 (16)"/>
      <sheetName val="6 (16)"/>
      <sheetName val="8 (16)"/>
      <sheetName val="3-1 (17)"/>
      <sheetName val="6 (17)"/>
      <sheetName val="8 (17)"/>
      <sheetName val="3-1 (18)"/>
      <sheetName val="6 (18)"/>
      <sheetName val="8 (18)"/>
      <sheetName val="3-1 (19)"/>
      <sheetName val="6 (19)"/>
      <sheetName val="8 (19)"/>
      <sheetName val="3-1 (20)"/>
      <sheetName val="6 (20)"/>
      <sheetName val="8 (20)"/>
      <sheetName val="3-1 (21)"/>
      <sheetName val="6 (21)"/>
      <sheetName val="8 (21)"/>
      <sheetName val="3-1 (22)"/>
      <sheetName val="6 (22)"/>
      <sheetName val="8 (22)"/>
      <sheetName val="3-1 (23)"/>
      <sheetName val="6 (23)"/>
      <sheetName val="8 (23)"/>
      <sheetName val="3-1 (24)"/>
      <sheetName val="6 (24)"/>
      <sheetName val="8 (24)"/>
      <sheetName val="3-1 (25)"/>
      <sheetName val="6 (25)"/>
      <sheetName val="8 (25)"/>
      <sheetName val="3-1 (26)"/>
      <sheetName val="6 (26)"/>
      <sheetName val="8 (26)"/>
      <sheetName val="3-1 (27)"/>
      <sheetName val="6 (27)"/>
      <sheetName val="8 (27)"/>
      <sheetName val="3-1 (28)"/>
      <sheetName val="6 (28)"/>
      <sheetName val="8 (28)"/>
      <sheetName val="3-1 (29)"/>
      <sheetName val="6 (29)"/>
      <sheetName val="8 (29)"/>
      <sheetName val="3-1 (30)"/>
      <sheetName val="6 (30)"/>
      <sheetName val="8 (30)"/>
      <sheetName val="3-1 (31)"/>
      <sheetName val="6 (31)"/>
      <sheetName val="8 (3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D6">
            <v>6090.9</v>
          </cell>
          <cell r="E6">
            <v>6225.4000000000015</v>
          </cell>
          <cell r="F6">
            <v>6443.9000000000015</v>
          </cell>
          <cell r="H6">
            <v>6493.9000000000015</v>
          </cell>
          <cell r="J6">
            <v>6523.9000000000015</v>
          </cell>
        </row>
        <row r="135">
          <cell r="D135">
            <v>90.2</v>
          </cell>
          <cell r="E135">
            <v>89.6</v>
          </cell>
          <cell r="H135">
            <v>89.6</v>
          </cell>
          <cell r="J135">
            <v>89.6</v>
          </cell>
        </row>
      </sheetData>
      <sheetData sheetId="27">
        <row r="6">
          <cell r="D6">
            <v>112602.01249646318</v>
          </cell>
          <cell r="E6">
            <v>116229.5536003235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ирнинский (2)"/>
      <sheetName val="Дефляторы (25.06.2015)"/>
      <sheetName val="Дефляторы (20.06.2016)"/>
      <sheetName val="Мирнинский"/>
      <sheetName val="Мирный"/>
      <sheetName val="Удачный"/>
      <sheetName val="Айхал"/>
      <sheetName val="Алмазный"/>
      <sheetName val="Светлый"/>
      <sheetName val="БН"/>
      <sheetName val="Чернышевский"/>
      <sheetName val="СНЭН"/>
      <sheetName val="ЧН"/>
      <sheetName val="отгрузка"/>
      <sheetName val="розн.оборот"/>
      <sheetName val="платные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6">
          <cell r="B26" t="str">
            <v>Алмазы природные несортированные</v>
          </cell>
          <cell r="C26" t="str">
            <v>т.карат</v>
          </cell>
        </row>
        <row r="84">
          <cell r="E84">
            <v>429511.1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на 01.01.2018г."/>
      <sheetName val="исполнение на 01.01.2018г. (2)"/>
      <sheetName val="исполнение на 01.01.2018г. (ак)"/>
    </sheetNames>
    <sheetDataSet>
      <sheetData sheetId="0">
        <row r="27">
          <cell r="BD27">
            <v>123319100</v>
          </cell>
        </row>
        <row r="74">
          <cell r="BE74">
            <v>152712597.89125049</v>
          </cell>
          <cell r="BF74">
            <v>161431766.78037554</v>
          </cell>
        </row>
        <row r="115">
          <cell r="BE115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доходов на 2019-2021год"/>
      <sheetName val="Объем расходов 2019-2024"/>
    </sheetNames>
    <sheetDataSet>
      <sheetData sheetId="0" refreshError="1">
        <row r="7">
          <cell r="E7">
            <v>171981865.66622311</v>
          </cell>
        </row>
        <row r="8">
          <cell r="H8">
            <v>169490074.26665321</v>
          </cell>
          <cell r="I8">
            <v>177951297.97998589</v>
          </cell>
          <cell r="J8">
            <v>186835582.87898517</v>
          </cell>
        </row>
        <row r="34">
          <cell r="H34">
            <v>0</v>
          </cell>
          <cell r="I34">
            <v>0</v>
          </cell>
          <cell r="J34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доходов на 2019-2024год"/>
      <sheetName val="Объем расходов 2019-2024"/>
    </sheetNames>
    <sheetDataSet>
      <sheetData sheetId="0" refreshError="1">
        <row r="54">
          <cell r="E54">
            <v>203938865.66622311</v>
          </cell>
          <cell r="F54">
            <v>182360557.85665187</v>
          </cell>
          <cell r="G54">
            <v>192884224.8050217</v>
          </cell>
          <cell r="H54">
            <v>201818598.58977279</v>
          </cell>
          <cell r="I54">
            <v>211199691.06376144</v>
          </cell>
          <cell r="J54">
            <v>221049838.16144949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доходов на 2019-2021год"/>
      <sheetName val="Объем  расходов 2019-2021"/>
      <sheetName val="Объем доходов на 2019-2024год"/>
      <sheetName val="Объем расходов 2019-2024"/>
      <sheetName val="МП"/>
    </sheetNames>
    <sheetDataSet>
      <sheetData sheetId="0" refreshError="1"/>
      <sheetData sheetId="1" refreshError="1"/>
      <sheetData sheetId="2" refreshError="1"/>
      <sheetData sheetId="3" refreshError="1">
        <row r="12">
          <cell r="F12">
            <v>213070904.56</v>
          </cell>
          <cell r="I12">
            <v>205457697.71571001</v>
          </cell>
          <cell r="J12">
            <v>213810528.62137216</v>
          </cell>
          <cell r="K12">
            <v>222506669.89248914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view="pageBreakPreview" zoomScale="60" workbookViewId="0">
      <selection activeCell="K22" sqref="K22"/>
    </sheetView>
  </sheetViews>
  <sheetFormatPr defaultRowHeight="12.75"/>
  <cols>
    <col min="1" max="1" width="4" style="3" customWidth="1"/>
    <col min="2" max="2" width="59.140625" style="2" customWidth="1"/>
    <col min="3" max="3" width="11.7109375" style="3" customWidth="1"/>
    <col min="4" max="4" width="13" style="3" hidden="1" customWidth="1"/>
    <col min="5" max="5" width="11.7109375" style="3" hidden="1" customWidth="1"/>
    <col min="6" max="6" width="11.7109375" style="3" customWidth="1"/>
    <col min="7" max="7" width="11.5703125" style="3" customWidth="1"/>
    <col min="8" max="8" width="12" style="3" customWidth="1"/>
    <col min="9" max="9" width="11.7109375" style="3" customWidth="1"/>
    <col min="10" max="10" width="12.42578125" style="3" customWidth="1"/>
    <col min="11" max="11" width="12.5703125" style="3" customWidth="1"/>
    <col min="12" max="12" width="12" style="3" customWidth="1"/>
    <col min="13" max="14" width="11.42578125" style="3" customWidth="1"/>
    <col min="15" max="15" width="12" style="3" customWidth="1"/>
    <col min="16" max="16" width="11.5703125" style="3" customWidth="1"/>
    <col min="17" max="17" width="11.140625" style="3" customWidth="1"/>
    <col min="18" max="18" width="12.140625" style="3" customWidth="1"/>
    <col min="19" max="19" width="11" style="3" customWidth="1"/>
    <col min="20" max="21" width="8.85546875" style="3" customWidth="1"/>
    <col min="22" max="252" width="9.140625" style="3"/>
    <col min="253" max="253" width="4" style="3" customWidth="1"/>
    <col min="254" max="254" width="59.140625" style="3" customWidth="1"/>
    <col min="255" max="257" width="11.7109375" style="3" customWidth="1"/>
    <col min="258" max="267" width="10.7109375" style="3" customWidth="1"/>
    <col min="268" max="277" width="8.85546875" style="3" customWidth="1"/>
    <col min="278" max="508" width="9.140625" style="3"/>
    <col min="509" max="509" width="4" style="3" customWidth="1"/>
    <col min="510" max="510" width="59.140625" style="3" customWidth="1"/>
    <col min="511" max="513" width="11.7109375" style="3" customWidth="1"/>
    <col min="514" max="523" width="10.7109375" style="3" customWidth="1"/>
    <col min="524" max="533" width="8.85546875" style="3" customWidth="1"/>
    <col min="534" max="764" width="9.140625" style="3"/>
    <col min="765" max="765" width="4" style="3" customWidth="1"/>
    <col min="766" max="766" width="59.140625" style="3" customWidth="1"/>
    <col min="767" max="769" width="11.7109375" style="3" customWidth="1"/>
    <col min="770" max="779" width="10.7109375" style="3" customWidth="1"/>
    <col min="780" max="789" width="8.85546875" style="3" customWidth="1"/>
    <col min="790" max="1020" width="9.140625" style="3"/>
    <col min="1021" max="1021" width="4" style="3" customWidth="1"/>
    <col min="1022" max="1022" width="59.140625" style="3" customWidth="1"/>
    <col min="1023" max="1025" width="11.7109375" style="3" customWidth="1"/>
    <col min="1026" max="1035" width="10.7109375" style="3" customWidth="1"/>
    <col min="1036" max="1045" width="8.85546875" style="3" customWidth="1"/>
    <col min="1046" max="1276" width="9.140625" style="3"/>
    <col min="1277" max="1277" width="4" style="3" customWidth="1"/>
    <col min="1278" max="1278" width="59.140625" style="3" customWidth="1"/>
    <col min="1279" max="1281" width="11.7109375" style="3" customWidth="1"/>
    <col min="1282" max="1291" width="10.7109375" style="3" customWidth="1"/>
    <col min="1292" max="1301" width="8.85546875" style="3" customWidth="1"/>
    <col min="1302" max="1532" width="9.140625" style="3"/>
    <col min="1533" max="1533" width="4" style="3" customWidth="1"/>
    <col min="1534" max="1534" width="59.140625" style="3" customWidth="1"/>
    <col min="1535" max="1537" width="11.7109375" style="3" customWidth="1"/>
    <col min="1538" max="1547" width="10.7109375" style="3" customWidth="1"/>
    <col min="1548" max="1557" width="8.85546875" style="3" customWidth="1"/>
    <col min="1558" max="1788" width="9.140625" style="3"/>
    <col min="1789" max="1789" width="4" style="3" customWidth="1"/>
    <col min="1790" max="1790" width="59.140625" style="3" customWidth="1"/>
    <col min="1791" max="1793" width="11.7109375" style="3" customWidth="1"/>
    <col min="1794" max="1803" width="10.7109375" style="3" customWidth="1"/>
    <col min="1804" max="1813" width="8.85546875" style="3" customWidth="1"/>
    <col min="1814" max="2044" width="9.140625" style="3"/>
    <col min="2045" max="2045" width="4" style="3" customWidth="1"/>
    <col min="2046" max="2046" width="59.140625" style="3" customWidth="1"/>
    <col min="2047" max="2049" width="11.7109375" style="3" customWidth="1"/>
    <col min="2050" max="2059" width="10.7109375" style="3" customWidth="1"/>
    <col min="2060" max="2069" width="8.85546875" style="3" customWidth="1"/>
    <col min="2070" max="2300" width="9.140625" style="3"/>
    <col min="2301" max="2301" width="4" style="3" customWidth="1"/>
    <col min="2302" max="2302" width="59.140625" style="3" customWidth="1"/>
    <col min="2303" max="2305" width="11.7109375" style="3" customWidth="1"/>
    <col min="2306" max="2315" width="10.7109375" style="3" customWidth="1"/>
    <col min="2316" max="2325" width="8.85546875" style="3" customWidth="1"/>
    <col min="2326" max="2556" width="9.140625" style="3"/>
    <col min="2557" max="2557" width="4" style="3" customWidth="1"/>
    <col min="2558" max="2558" width="59.140625" style="3" customWidth="1"/>
    <col min="2559" max="2561" width="11.7109375" style="3" customWidth="1"/>
    <col min="2562" max="2571" width="10.7109375" style="3" customWidth="1"/>
    <col min="2572" max="2581" width="8.85546875" style="3" customWidth="1"/>
    <col min="2582" max="2812" width="9.140625" style="3"/>
    <col min="2813" max="2813" width="4" style="3" customWidth="1"/>
    <col min="2814" max="2814" width="59.140625" style="3" customWidth="1"/>
    <col min="2815" max="2817" width="11.7109375" style="3" customWidth="1"/>
    <col min="2818" max="2827" width="10.7109375" style="3" customWidth="1"/>
    <col min="2828" max="2837" width="8.85546875" style="3" customWidth="1"/>
    <col min="2838" max="3068" width="9.140625" style="3"/>
    <col min="3069" max="3069" width="4" style="3" customWidth="1"/>
    <col min="3070" max="3070" width="59.140625" style="3" customWidth="1"/>
    <col min="3071" max="3073" width="11.7109375" style="3" customWidth="1"/>
    <col min="3074" max="3083" width="10.7109375" style="3" customWidth="1"/>
    <col min="3084" max="3093" width="8.85546875" style="3" customWidth="1"/>
    <col min="3094" max="3324" width="9.140625" style="3"/>
    <col min="3325" max="3325" width="4" style="3" customWidth="1"/>
    <col min="3326" max="3326" width="59.140625" style="3" customWidth="1"/>
    <col min="3327" max="3329" width="11.7109375" style="3" customWidth="1"/>
    <col min="3330" max="3339" width="10.7109375" style="3" customWidth="1"/>
    <col min="3340" max="3349" width="8.85546875" style="3" customWidth="1"/>
    <col min="3350" max="3580" width="9.140625" style="3"/>
    <col min="3581" max="3581" width="4" style="3" customWidth="1"/>
    <col min="3582" max="3582" width="59.140625" style="3" customWidth="1"/>
    <col min="3583" max="3585" width="11.7109375" style="3" customWidth="1"/>
    <col min="3586" max="3595" width="10.7109375" style="3" customWidth="1"/>
    <col min="3596" max="3605" width="8.85546875" style="3" customWidth="1"/>
    <col min="3606" max="3836" width="9.140625" style="3"/>
    <col min="3837" max="3837" width="4" style="3" customWidth="1"/>
    <col min="3838" max="3838" width="59.140625" style="3" customWidth="1"/>
    <col min="3839" max="3841" width="11.7109375" style="3" customWidth="1"/>
    <col min="3842" max="3851" width="10.7109375" style="3" customWidth="1"/>
    <col min="3852" max="3861" width="8.85546875" style="3" customWidth="1"/>
    <col min="3862" max="4092" width="9.140625" style="3"/>
    <col min="4093" max="4093" width="4" style="3" customWidth="1"/>
    <col min="4094" max="4094" width="59.140625" style="3" customWidth="1"/>
    <col min="4095" max="4097" width="11.7109375" style="3" customWidth="1"/>
    <col min="4098" max="4107" width="10.7109375" style="3" customWidth="1"/>
    <col min="4108" max="4117" width="8.85546875" style="3" customWidth="1"/>
    <col min="4118" max="4348" width="9.140625" style="3"/>
    <col min="4349" max="4349" width="4" style="3" customWidth="1"/>
    <col min="4350" max="4350" width="59.140625" style="3" customWidth="1"/>
    <col min="4351" max="4353" width="11.7109375" style="3" customWidth="1"/>
    <col min="4354" max="4363" width="10.7109375" style="3" customWidth="1"/>
    <col min="4364" max="4373" width="8.85546875" style="3" customWidth="1"/>
    <col min="4374" max="4604" width="9.140625" style="3"/>
    <col min="4605" max="4605" width="4" style="3" customWidth="1"/>
    <col min="4606" max="4606" width="59.140625" style="3" customWidth="1"/>
    <col min="4607" max="4609" width="11.7109375" style="3" customWidth="1"/>
    <col min="4610" max="4619" width="10.7109375" style="3" customWidth="1"/>
    <col min="4620" max="4629" width="8.85546875" style="3" customWidth="1"/>
    <col min="4630" max="4860" width="9.140625" style="3"/>
    <col min="4861" max="4861" width="4" style="3" customWidth="1"/>
    <col min="4862" max="4862" width="59.140625" style="3" customWidth="1"/>
    <col min="4863" max="4865" width="11.7109375" style="3" customWidth="1"/>
    <col min="4866" max="4875" width="10.7109375" style="3" customWidth="1"/>
    <col min="4876" max="4885" width="8.85546875" style="3" customWidth="1"/>
    <col min="4886" max="5116" width="9.140625" style="3"/>
    <col min="5117" max="5117" width="4" style="3" customWidth="1"/>
    <col min="5118" max="5118" width="59.140625" style="3" customWidth="1"/>
    <col min="5119" max="5121" width="11.7109375" style="3" customWidth="1"/>
    <col min="5122" max="5131" width="10.7109375" style="3" customWidth="1"/>
    <col min="5132" max="5141" width="8.85546875" style="3" customWidth="1"/>
    <col min="5142" max="5372" width="9.140625" style="3"/>
    <col min="5373" max="5373" width="4" style="3" customWidth="1"/>
    <col min="5374" max="5374" width="59.140625" style="3" customWidth="1"/>
    <col min="5375" max="5377" width="11.7109375" style="3" customWidth="1"/>
    <col min="5378" max="5387" width="10.7109375" style="3" customWidth="1"/>
    <col min="5388" max="5397" width="8.85546875" style="3" customWidth="1"/>
    <col min="5398" max="5628" width="9.140625" style="3"/>
    <col min="5629" max="5629" width="4" style="3" customWidth="1"/>
    <col min="5630" max="5630" width="59.140625" style="3" customWidth="1"/>
    <col min="5631" max="5633" width="11.7109375" style="3" customWidth="1"/>
    <col min="5634" max="5643" width="10.7109375" style="3" customWidth="1"/>
    <col min="5644" max="5653" width="8.85546875" style="3" customWidth="1"/>
    <col min="5654" max="5884" width="9.140625" style="3"/>
    <col min="5885" max="5885" width="4" style="3" customWidth="1"/>
    <col min="5886" max="5886" width="59.140625" style="3" customWidth="1"/>
    <col min="5887" max="5889" width="11.7109375" style="3" customWidth="1"/>
    <col min="5890" max="5899" width="10.7109375" style="3" customWidth="1"/>
    <col min="5900" max="5909" width="8.85546875" style="3" customWidth="1"/>
    <col min="5910" max="6140" width="9.140625" style="3"/>
    <col min="6141" max="6141" width="4" style="3" customWidth="1"/>
    <col min="6142" max="6142" width="59.140625" style="3" customWidth="1"/>
    <col min="6143" max="6145" width="11.7109375" style="3" customWidth="1"/>
    <col min="6146" max="6155" width="10.7109375" style="3" customWidth="1"/>
    <col min="6156" max="6165" width="8.85546875" style="3" customWidth="1"/>
    <col min="6166" max="6396" width="9.140625" style="3"/>
    <col min="6397" max="6397" width="4" style="3" customWidth="1"/>
    <col min="6398" max="6398" width="59.140625" style="3" customWidth="1"/>
    <col min="6399" max="6401" width="11.7109375" style="3" customWidth="1"/>
    <col min="6402" max="6411" width="10.7109375" style="3" customWidth="1"/>
    <col min="6412" max="6421" width="8.85546875" style="3" customWidth="1"/>
    <col min="6422" max="6652" width="9.140625" style="3"/>
    <col min="6653" max="6653" width="4" style="3" customWidth="1"/>
    <col min="6654" max="6654" width="59.140625" style="3" customWidth="1"/>
    <col min="6655" max="6657" width="11.7109375" style="3" customWidth="1"/>
    <col min="6658" max="6667" width="10.7109375" style="3" customWidth="1"/>
    <col min="6668" max="6677" width="8.85546875" style="3" customWidth="1"/>
    <col min="6678" max="6908" width="9.140625" style="3"/>
    <col min="6909" max="6909" width="4" style="3" customWidth="1"/>
    <col min="6910" max="6910" width="59.140625" style="3" customWidth="1"/>
    <col min="6911" max="6913" width="11.7109375" style="3" customWidth="1"/>
    <col min="6914" max="6923" width="10.7109375" style="3" customWidth="1"/>
    <col min="6924" max="6933" width="8.85546875" style="3" customWidth="1"/>
    <col min="6934" max="7164" width="9.140625" style="3"/>
    <col min="7165" max="7165" width="4" style="3" customWidth="1"/>
    <col min="7166" max="7166" width="59.140625" style="3" customWidth="1"/>
    <col min="7167" max="7169" width="11.7109375" style="3" customWidth="1"/>
    <col min="7170" max="7179" width="10.7109375" style="3" customWidth="1"/>
    <col min="7180" max="7189" width="8.85546875" style="3" customWidth="1"/>
    <col min="7190" max="7420" width="9.140625" style="3"/>
    <col min="7421" max="7421" width="4" style="3" customWidth="1"/>
    <col min="7422" max="7422" width="59.140625" style="3" customWidth="1"/>
    <col min="7423" max="7425" width="11.7109375" style="3" customWidth="1"/>
    <col min="7426" max="7435" width="10.7109375" style="3" customWidth="1"/>
    <col min="7436" max="7445" width="8.85546875" style="3" customWidth="1"/>
    <col min="7446" max="7676" width="9.140625" style="3"/>
    <col min="7677" max="7677" width="4" style="3" customWidth="1"/>
    <col min="7678" max="7678" width="59.140625" style="3" customWidth="1"/>
    <col min="7679" max="7681" width="11.7109375" style="3" customWidth="1"/>
    <col min="7682" max="7691" width="10.7109375" style="3" customWidth="1"/>
    <col min="7692" max="7701" width="8.85546875" style="3" customWidth="1"/>
    <col min="7702" max="7932" width="9.140625" style="3"/>
    <col min="7933" max="7933" width="4" style="3" customWidth="1"/>
    <col min="7934" max="7934" width="59.140625" style="3" customWidth="1"/>
    <col min="7935" max="7937" width="11.7109375" style="3" customWidth="1"/>
    <col min="7938" max="7947" width="10.7109375" style="3" customWidth="1"/>
    <col min="7948" max="7957" width="8.85546875" style="3" customWidth="1"/>
    <col min="7958" max="8188" width="9.140625" style="3"/>
    <col min="8189" max="8189" width="4" style="3" customWidth="1"/>
    <col min="8190" max="8190" width="59.140625" style="3" customWidth="1"/>
    <col min="8191" max="8193" width="11.7109375" style="3" customWidth="1"/>
    <col min="8194" max="8203" width="10.7109375" style="3" customWidth="1"/>
    <col min="8204" max="8213" width="8.85546875" style="3" customWidth="1"/>
    <col min="8214" max="8444" width="9.140625" style="3"/>
    <col min="8445" max="8445" width="4" style="3" customWidth="1"/>
    <col min="8446" max="8446" width="59.140625" style="3" customWidth="1"/>
    <col min="8447" max="8449" width="11.7109375" style="3" customWidth="1"/>
    <col min="8450" max="8459" width="10.7109375" style="3" customWidth="1"/>
    <col min="8460" max="8469" width="8.85546875" style="3" customWidth="1"/>
    <col min="8470" max="8700" width="9.140625" style="3"/>
    <col min="8701" max="8701" width="4" style="3" customWidth="1"/>
    <col min="8702" max="8702" width="59.140625" style="3" customWidth="1"/>
    <col min="8703" max="8705" width="11.7109375" style="3" customWidth="1"/>
    <col min="8706" max="8715" width="10.7109375" style="3" customWidth="1"/>
    <col min="8716" max="8725" width="8.85546875" style="3" customWidth="1"/>
    <col min="8726" max="8956" width="9.140625" style="3"/>
    <col min="8957" max="8957" width="4" style="3" customWidth="1"/>
    <col min="8958" max="8958" width="59.140625" style="3" customWidth="1"/>
    <col min="8959" max="8961" width="11.7109375" style="3" customWidth="1"/>
    <col min="8962" max="8971" width="10.7109375" style="3" customWidth="1"/>
    <col min="8972" max="8981" width="8.85546875" style="3" customWidth="1"/>
    <col min="8982" max="9212" width="9.140625" style="3"/>
    <col min="9213" max="9213" width="4" style="3" customWidth="1"/>
    <col min="9214" max="9214" width="59.140625" style="3" customWidth="1"/>
    <col min="9215" max="9217" width="11.7109375" style="3" customWidth="1"/>
    <col min="9218" max="9227" width="10.7109375" style="3" customWidth="1"/>
    <col min="9228" max="9237" width="8.85546875" style="3" customWidth="1"/>
    <col min="9238" max="9468" width="9.140625" style="3"/>
    <col min="9469" max="9469" width="4" style="3" customWidth="1"/>
    <col min="9470" max="9470" width="59.140625" style="3" customWidth="1"/>
    <col min="9471" max="9473" width="11.7109375" style="3" customWidth="1"/>
    <col min="9474" max="9483" width="10.7109375" style="3" customWidth="1"/>
    <col min="9484" max="9493" width="8.85546875" style="3" customWidth="1"/>
    <col min="9494" max="9724" width="9.140625" style="3"/>
    <col min="9725" max="9725" width="4" style="3" customWidth="1"/>
    <col min="9726" max="9726" width="59.140625" style="3" customWidth="1"/>
    <col min="9727" max="9729" width="11.7109375" style="3" customWidth="1"/>
    <col min="9730" max="9739" width="10.7109375" style="3" customWidth="1"/>
    <col min="9740" max="9749" width="8.85546875" style="3" customWidth="1"/>
    <col min="9750" max="9980" width="9.140625" style="3"/>
    <col min="9981" max="9981" width="4" style="3" customWidth="1"/>
    <col min="9982" max="9982" width="59.140625" style="3" customWidth="1"/>
    <col min="9983" max="9985" width="11.7109375" style="3" customWidth="1"/>
    <col min="9986" max="9995" width="10.7109375" style="3" customWidth="1"/>
    <col min="9996" max="10005" width="8.85546875" style="3" customWidth="1"/>
    <col min="10006" max="10236" width="9.140625" style="3"/>
    <col min="10237" max="10237" width="4" style="3" customWidth="1"/>
    <col min="10238" max="10238" width="59.140625" style="3" customWidth="1"/>
    <col min="10239" max="10241" width="11.7109375" style="3" customWidth="1"/>
    <col min="10242" max="10251" width="10.7109375" style="3" customWidth="1"/>
    <col min="10252" max="10261" width="8.85546875" style="3" customWidth="1"/>
    <col min="10262" max="10492" width="9.140625" style="3"/>
    <col min="10493" max="10493" width="4" style="3" customWidth="1"/>
    <col min="10494" max="10494" width="59.140625" style="3" customWidth="1"/>
    <col min="10495" max="10497" width="11.7109375" style="3" customWidth="1"/>
    <col min="10498" max="10507" width="10.7109375" style="3" customWidth="1"/>
    <col min="10508" max="10517" width="8.85546875" style="3" customWidth="1"/>
    <col min="10518" max="10748" width="9.140625" style="3"/>
    <col min="10749" max="10749" width="4" style="3" customWidth="1"/>
    <col min="10750" max="10750" width="59.140625" style="3" customWidth="1"/>
    <col min="10751" max="10753" width="11.7109375" style="3" customWidth="1"/>
    <col min="10754" max="10763" width="10.7109375" style="3" customWidth="1"/>
    <col min="10764" max="10773" width="8.85546875" style="3" customWidth="1"/>
    <col min="10774" max="11004" width="9.140625" style="3"/>
    <col min="11005" max="11005" width="4" style="3" customWidth="1"/>
    <col min="11006" max="11006" width="59.140625" style="3" customWidth="1"/>
    <col min="11007" max="11009" width="11.7109375" style="3" customWidth="1"/>
    <col min="11010" max="11019" width="10.7109375" style="3" customWidth="1"/>
    <col min="11020" max="11029" width="8.85546875" style="3" customWidth="1"/>
    <col min="11030" max="11260" width="9.140625" style="3"/>
    <col min="11261" max="11261" width="4" style="3" customWidth="1"/>
    <col min="11262" max="11262" width="59.140625" style="3" customWidth="1"/>
    <col min="11263" max="11265" width="11.7109375" style="3" customWidth="1"/>
    <col min="11266" max="11275" width="10.7109375" style="3" customWidth="1"/>
    <col min="11276" max="11285" width="8.85546875" style="3" customWidth="1"/>
    <col min="11286" max="11516" width="9.140625" style="3"/>
    <col min="11517" max="11517" width="4" style="3" customWidth="1"/>
    <col min="11518" max="11518" width="59.140625" style="3" customWidth="1"/>
    <col min="11519" max="11521" width="11.7109375" style="3" customWidth="1"/>
    <col min="11522" max="11531" width="10.7109375" style="3" customWidth="1"/>
    <col min="11532" max="11541" width="8.85546875" style="3" customWidth="1"/>
    <col min="11542" max="11772" width="9.140625" style="3"/>
    <col min="11773" max="11773" width="4" style="3" customWidth="1"/>
    <col min="11774" max="11774" width="59.140625" style="3" customWidth="1"/>
    <col min="11775" max="11777" width="11.7109375" style="3" customWidth="1"/>
    <col min="11778" max="11787" width="10.7109375" style="3" customWidth="1"/>
    <col min="11788" max="11797" width="8.85546875" style="3" customWidth="1"/>
    <col min="11798" max="12028" width="9.140625" style="3"/>
    <col min="12029" max="12029" width="4" style="3" customWidth="1"/>
    <col min="12030" max="12030" width="59.140625" style="3" customWidth="1"/>
    <col min="12031" max="12033" width="11.7109375" style="3" customWidth="1"/>
    <col min="12034" max="12043" width="10.7109375" style="3" customWidth="1"/>
    <col min="12044" max="12053" width="8.85546875" style="3" customWidth="1"/>
    <col min="12054" max="12284" width="9.140625" style="3"/>
    <col min="12285" max="12285" width="4" style="3" customWidth="1"/>
    <col min="12286" max="12286" width="59.140625" style="3" customWidth="1"/>
    <col min="12287" max="12289" width="11.7109375" style="3" customWidth="1"/>
    <col min="12290" max="12299" width="10.7109375" style="3" customWidth="1"/>
    <col min="12300" max="12309" width="8.85546875" style="3" customWidth="1"/>
    <col min="12310" max="12540" width="9.140625" style="3"/>
    <col min="12541" max="12541" width="4" style="3" customWidth="1"/>
    <col min="12542" max="12542" width="59.140625" style="3" customWidth="1"/>
    <col min="12543" max="12545" width="11.7109375" style="3" customWidth="1"/>
    <col min="12546" max="12555" width="10.7109375" style="3" customWidth="1"/>
    <col min="12556" max="12565" width="8.85546875" style="3" customWidth="1"/>
    <col min="12566" max="12796" width="9.140625" style="3"/>
    <col min="12797" max="12797" width="4" style="3" customWidth="1"/>
    <col min="12798" max="12798" width="59.140625" style="3" customWidth="1"/>
    <col min="12799" max="12801" width="11.7109375" style="3" customWidth="1"/>
    <col min="12802" max="12811" width="10.7109375" style="3" customWidth="1"/>
    <col min="12812" max="12821" width="8.85546875" style="3" customWidth="1"/>
    <col min="12822" max="13052" width="9.140625" style="3"/>
    <col min="13053" max="13053" width="4" style="3" customWidth="1"/>
    <col min="13054" max="13054" width="59.140625" style="3" customWidth="1"/>
    <col min="13055" max="13057" width="11.7109375" style="3" customWidth="1"/>
    <col min="13058" max="13067" width="10.7109375" style="3" customWidth="1"/>
    <col min="13068" max="13077" width="8.85546875" style="3" customWidth="1"/>
    <col min="13078" max="13308" width="9.140625" style="3"/>
    <col min="13309" max="13309" width="4" style="3" customWidth="1"/>
    <col min="13310" max="13310" width="59.140625" style="3" customWidth="1"/>
    <col min="13311" max="13313" width="11.7109375" style="3" customWidth="1"/>
    <col min="13314" max="13323" width="10.7109375" style="3" customWidth="1"/>
    <col min="13324" max="13333" width="8.85546875" style="3" customWidth="1"/>
    <col min="13334" max="13564" width="9.140625" style="3"/>
    <col min="13565" max="13565" width="4" style="3" customWidth="1"/>
    <col min="13566" max="13566" width="59.140625" style="3" customWidth="1"/>
    <col min="13567" max="13569" width="11.7109375" style="3" customWidth="1"/>
    <col min="13570" max="13579" width="10.7109375" style="3" customWidth="1"/>
    <col min="13580" max="13589" width="8.85546875" style="3" customWidth="1"/>
    <col min="13590" max="13820" width="9.140625" style="3"/>
    <col min="13821" max="13821" width="4" style="3" customWidth="1"/>
    <col min="13822" max="13822" width="59.140625" style="3" customWidth="1"/>
    <col min="13823" max="13825" width="11.7109375" style="3" customWidth="1"/>
    <col min="13826" max="13835" width="10.7109375" style="3" customWidth="1"/>
    <col min="13836" max="13845" width="8.85546875" style="3" customWidth="1"/>
    <col min="13846" max="14076" width="9.140625" style="3"/>
    <col min="14077" max="14077" width="4" style="3" customWidth="1"/>
    <col min="14078" max="14078" width="59.140625" style="3" customWidth="1"/>
    <col min="14079" max="14081" width="11.7109375" style="3" customWidth="1"/>
    <col min="14082" max="14091" width="10.7109375" style="3" customWidth="1"/>
    <col min="14092" max="14101" width="8.85546875" style="3" customWidth="1"/>
    <col min="14102" max="14332" width="9.140625" style="3"/>
    <col min="14333" max="14333" width="4" style="3" customWidth="1"/>
    <col min="14334" max="14334" width="59.140625" style="3" customWidth="1"/>
    <col min="14335" max="14337" width="11.7109375" style="3" customWidth="1"/>
    <col min="14338" max="14347" width="10.7109375" style="3" customWidth="1"/>
    <col min="14348" max="14357" width="8.85546875" style="3" customWidth="1"/>
    <col min="14358" max="14588" width="9.140625" style="3"/>
    <col min="14589" max="14589" width="4" style="3" customWidth="1"/>
    <col min="14590" max="14590" width="59.140625" style="3" customWidth="1"/>
    <col min="14591" max="14593" width="11.7109375" style="3" customWidth="1"/>
    <col min="14594" max="14603" width="10.7109375" style="3" customWidth="1"/>
    <col min="14604" max="14613" width="8.85546875" style="3" customWidth="1"/>
    <col min="14614" max="14844" width="9.140625" style="3"/>
    <col min="14845" max="14845" width="4" style="3" customWidth="1"/>
    <col min="14846" max="14846" width="59.140625" style="3" customWidth="1"/>
    <col min="14847" max="14849" width="11.7109375" style="3" customWidth="1"/>
    <col min="14850" max="14859" width="10.7109375" style="3" customWidth="1"/>
    <col min="14860" max="14869" width="8.85546875" style="3" customWidth="1"/>
    <col min="14870" max="15100" width="9.140625" style="3"/>
    <col min="15101" max="15101" width="4" style="3" customWidth="1"/>
    <col min="15102" max="15102" width="59.140625" style="3" customWidth="1"/>
    <col min="15103" max="15105" width="11.7109375" style="3" customWidth="1"/>
    <col min="15106" max="15115" width="10.7109375" style="3" customWidth="1"/>
    <col min="15116" max="15125" width="8.85546875" style="3" customWidth="1"/>
    <col min="15126" max="15356" width="9.140625" style="3"/>
    <col min="15357" max="15357" width="4" style="3" customWidth="1"/>
    <col min="15358" max="15358" width="59.140625" style="3" customWidth="1"/>
    <col min="15359" max="15361" width="11.7109375" style="3" customWidth="1"/>
    <col min="15362" max="15371" width="10.7109375" style="3" customWidth="1"/>
    <col min="15372" max="15381" width="8.85546875" style="3" customWidth="1"/>
    <col min="15382" max="15612" width="9.140625" style="3"/>
    <col min="15613" max="15613" width="4" style="3" customWidth="1"/>
    <col min="15614" max="15614" width="59.140625" style="3" customWidth="1"/>
    <col min="15615" max="15617" width="11.7109375" style="3" customWidth="1"/>
    <col min="15618" max="15627" width="10.7109375" style="3" customWidth="1"/>
    <col min="15628" max="15637" width="8.85546875" style="3" customWidth="1"/>
    <col min="15638" max="15868" width="9.140625" style="3"/>
    <col min="15869" max="15869" width="4" style="3" customWidth="1"/>
    <col min="15870" max="15870" width="59.140625" style="3" customWidth="1"/>
    <col min="15871" max="15873" width="11.7109375" style="3" customWidth="1"/>
    <col min="15874" max="15883" width="10.7109375" style="3" customWidth="1"/>
    <col min="15884" max="15893" width="8.85546875" style="3" customWidth="1"/>
    <col min="15894" max="16124" width="9.140625" style="3"/>
    <col min="16125" max="16125" width="4" style="3" customWidth="1"/>
    <col min="16126" max="16126" width="59.140625" style="3" customWidth="1"/>
    <col min="16127" max="16129" width="11.7109375" style="3" customWidth="1"/>
    <col min="16130" max="16139" width="10.7109375" style="3" customWidth="1"/>
    <col min="16140" max="16149" width="8.85546875" style="3" customWidth="1"/>
    <col min="16150" max="16384" width="9.140625" style="3"/>
  </cols>
  <sheetData>
    <row r="1" spans="1:21">
      <c r="A1" s="1" t="s">
        <v>0</v>
      </c>
    </row>
    <row r="2" spans="1:21">
      <c r="A2" s="1"/>
      <c r="N2" s="3" t="s">
        <v>114</v>
      </c>
    </row>
    <row r="3" spans="1:21">
      <c r="A3" s="1"/>
      <c r="N3" s="3" t="s">
        <v>115</v>
      </c>
    </row>
    <row r="4" spans="1:21">
      <c r="A4" s="1"/>
      <c r="N4" s="82" t="s">
        <v>119</v>
      </c>
    </row>
    <row r="5" spans="1:21">
      <c r="A5" s="1"/>
    </row>
    <row r="6" spans="1:21">
      <c r="A6" s="1"/>
    </row>
    <row r="7" spans="1:21" ht="23.25" customHeight="1">
      <c r="A7" s="5"/>
      <c r="B7" s="85" t="s">
        <v>118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4"/>
      <c r="S7" s="4"/>
      <c r="T7" s="4"/>
      <c r="U7" s="4"/>
    </row>
    <row r="8" spans="1:21" ht="19.5" thickBot="1">
      <c r="A8" s="5"/>
      <c r="B8" s="6"/>
      <c r="G8" s="7"/>
      <c r="H8" s="8"/>
      <c r="I8" s="8"/>
      <c r="J8" s="86"/>
      <c r="K8" s="86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8.75">
      <c r="A9" s="87" t="s">
        <v>1</v>
      </c>
      <c r="B9" s="89"/>
      <c r="C9" s="91" t="s">
        <v>2</v>
      </c>
      <c r="D9" s="9">
        <v>2016</v>
      </c>
      <c r="E9" s="9">
        <v>2017</v>
      </c>
      <c r="F9" s="10">
        <v>2018</v>
      </c>
      <c r="G9" s="81">
        <v>2019</v>
      </c>
      <c r="H9" s="83">
        <v>2020</v>
      </c>
      <c r="I9" s="84"/>
      <c r="J9" s="83">
        <v>2021</v>
      </c>
      <c r="K9" s="84"/>
      <c r="L9" s="83">
        <v>2022</v>
      </c>
      <c r="M9" s="84"/>
      <c r="N9" s="83">
        <v>2023</v>
      </c>
      <c r="O9" s="84"/>
      <c r="P9" s="83">
        <v>2024</v>
      </c>
      <c r="Q9" s="84"/>
      <c r="R9" s="83">
        <v>2025</v>
      </c>
      <c r="S9" s="84"/>
      <c r="T9" s="4"/>
      <c r="U9" s="4"/>
    </row>
    <row r="10" spans="1:21" ht="24.75" thickBot="1">
      <c r="A10" s="88"/>
      <c r="B10" s="90"/>
      <c r="C10" s="92"/>
      <c r="D10" s="11" t="s">
        <v>3</v>
      </c>
      <c r="E10" s="11" t="s">
        <v>3</v>
      </c>
      <c r="F10" s="11" t="s">
        <v>3</v>
      </c>
      <c r="G10" s="11" t="s">
        <v>4</v>
      </c>
      <c r="H10" s="11" t="s">
        <v>5</v>
      </c>
      <c r="I10" s="12" t="s">
        <v>6</v>
      </c>
      <c r="J10" s="11" t="s">
        <v>5</v>
      </c>
      <c r="K10" s="12" t="s">
        <v>6</v>
      </c>
      <c r="L10" s="11" t="s">
        <v>5</v>
      </c>
      <c r="M10" s="12" t="s">
        <v>6</v>
      </c>
      <c r="N10" s="11" t="s">
        <v>5</v>
      </c>
      <c r="O10" s="12" t="s">
        <v>6</v>
      </c>
      <c r="P10" s="11" t="s">
        <v>5</v>
      </c>
      <c r="Q10" s="12" t="s">
        <v>6</v>
      </c>
      <c r="R10" s="11" t="s">
        <v>5</v>
      </c>
      <c r="S10" s="12" t="s">
        <v>6</v>
      </c>
      <c r="T10" s="4"/>
      <c r="U10" s="4"/>
    </row>
    <row r="11" spans="1:21" ht="0.75" customHeight="1" thickBot="1">
      <c r="A11" s="13"/>
      <c r="B11" s="14"/>
      <c r="C11" s="15"/>
      <c r="D11" s="16"/>
      <c r="E11" s="16"/>
      <c r="F11" s="16"/>
      <c r="G11" s="16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4"/>
      <c r="U11" s="4"/>
    </row>
    <row r="12" spans="1:21">
      <c r="A12" s="18">
        <v>1</v>
      </c>
      <c r="B12" s="19" t="s">
        <v>7</v>
      </c>
      <c r="C12" s="20" t="s">
        <v>8</v>
      </c>
      <c r="D12" s="21">
        <v>11835</v>
      </c>
      <c r="E12" s="21">
        <v>11835</v>
      </c>
      <c r="F12" s="21">
        <v>11676</v>
      </c>
      <c r="G12" s="21">
        <v>11960</v>
      </c>
      <c r="H12" s="21">
        <v>11884</v>
      </c>
      <c r="I12" s="22"/>
      <c r="J12" s="21">
        <v>11950</v>
      </c>
      <c r="K12" s="23"/>
      <c r="L12" s="21">
        <f>J12*1.005</f>
        <v>12009.749999999998</v>
      </c>
      <c r="M12" s="23"/>
      <c r="N12" s="21">
        <f>L12*1.005</f>
        <v>12069.798749999996</v>
      </c>
      <c r="O12" s="23"/>
      <c r="P12" s="21">
        <f>N12*1.005</f>
        <v>12130.147743749994</v>
      </c>
      <c r="Q12" s="23"/>
      <c r="R12" s="21">
        <f>P12*1.005</f>
        <v>12190.798482468743</v>
      </c>
      <c r="S12" s="23"/>
    </row>
    <row r="13" spans="1:21" s="63" customFormat="1" ht="24">
      <c r="A13" s="24">
        <v>2</v>
      </c>
      <c r="B13" s="25" t="s">
        <v>9</v>
      </c>
      <c r="C13" s="26" t="s">
        <v>8</v>
      </c>
      <c r="D13" s="60">
        <v>7856</v>
      </c>
      <c r="E13" s="60">
        <v>7856</v>
      </c>
      <c r="F13" s="60">
        <v>8137</v>
      </c>
      <c r="G13" s="60">
        <f>F13*F56</f>
        <v>8334.9194929770456</v>
      </c>
      <c r="H13" s="60">
        <f>G13*G56</f>
        <v>8281.9551216169912</v>
      </c>
      <c r="I13" s="61"/>
      <c r="J13" s="60">
        <f>H13*I56</f>
        <v>8327.9504967454595</v>
      </c>
      <c r="K13" s="62"/>
      <c r="L13" s="60">
        <f>J13*K56</f>
        <v>8369.5902492291862</v>
      </c>
      <c r="M13" s="62"/>
      <c r="N13" s="60">
        <f>L13*M56</f>
        <v>8411.4382004753315</v>
      </c>
      <c r="O13" s="62"/>
      <c r="P13" s="60">
        <f>N13*O56</f>
        <v>8453.495391477707</v>
      </c>
      <c r="Q13" s="62"/>
      <c r="R13" s="60">
        <f>P13*Q56</f>
        <v>8495.7628684350948</v>
      </c>
      <c r="S13" s="62"/>
    </row>
    <row r="14" spans="1:21" s="63" customFormat="1">
      <c r="A14" s="24">
        <v>3</v>
      </c>
      <c r="B14" s="25" t="s">
        <v>10</v>
      </c>
      <c r="C14" s="26" t="s">
        <v>8</v>
      </c>
      <c r="D14" s="60">
        <v>5958</v>
      </c>
      <c r="E14" s="60">
        <f>'[1]3-1 (2)'!$D$6</f>
        <v>6090.9</v>
      </c>
      <c r="F14" s="60">
        <f>'[1]3-1 (2)'!$E$6</f>
        <v>6225.4000000000015</v>
      </c>
      <c r="G14" s="60">
        <f>'[1]3-1 (2)'!$F$6</f>
        <v>6443.9000000000015</v>
      </c>
      <c r="H14" s="60">
        <f>'[1]3-1 (2)'!$H$6</f>
        <v>6493.9000000000015</v>
      </c>
      <c r="I14" s="61"/>
      <c r="J14" s="60">
        <f>'[1]3-1 (2)'!$J$6</f>
        <v>6523.9000000000015</v>
      </c>
      <c r="K14" s="62"/>
      <c r="L14" s="60">
        <f>J14*1.0046</f>
        <v>6553.9099400000014</v>
      </c>
      <c r="M14" s="62"/>
      <c r="N14" s="60">
        <f>L14*1.006</f>
        <v>6593.2333996400012</v>
      </c>
      <c r="O14" s="62"/>
      <c r="P14" s="60">
        <f>N14*1.0046</f>
        <v>6623.5622732783449</v>
      </c>
      <c r="Q14" s="62"/>
      <c r="R14" s="60">
        <f>P14*1.0046</f>
        <v>6654.0306597354247</v>
      </c>
      <c r="S14" s="62"/>
    </row>
    <row r="15" spans="1:21" s="63" customFormat="1" ht="24">
      <c r="A15" s="24">
        <v>4</v>
      </c>
      <c r="B15" s="25" t="s">
        <v>11</v>
      </c>
      <c r="C15" s="26" t="s">
        <v>12</v>
      </c>
      <c r="D15" s="64">
        <f t="shared" ref="D15" si="0">D14*100/D12</f>
        <v>50.342205323193916</v>
      </c>
      <c r="E15" s="64">
        <f t="shared" ref="E15:J15" si="1">E14*100/E12</f>
        <v>51.465145754119135</v>
      </c>
      <c r="F15" s="64">
        <f t="shared" si="1"/>
        <v>53.31791709489552</v>
      </c>
      <c r="G15" s="64">
        <f t="shared" si="1"/>
        <v>53.878762541806033</v>
      </c>
      <c r="H15" s="64">
        <f t="shared" si="1"/>
        <v>54.644059239313371</v>
      </c>
      <c r="I15" s="61"/>
      <c r="J15" s="64">
        <f t="shared" si="1"/>
        <v>54.593305439330557</v>
      </c>
      <c r="K15" s="62"/>
      <c r="L15" s="64">
        <f t="shared" ref="L15" si="2">L14*100/L12</f>
        <v>54.571576760548744</v>
      </c>
      <c r="M15" s="62"/>
      <c r="N15" s="64">
        <f t="shared" ref="N15" si="3">N14*100/N12</f>
        <v>54.625876836927404</v>
      </c>
      <c r="O15" s="62"/>
      <c r="P15" s="64">
        <f t="shared" ref="P15:R15" si="4">P14*100/P12</f>
        <v>54.604135194405245</v>
      </c>
      <c r="Q15" s="62"/>
      <c r="R15" s="64">
        <f t="shared" si="4"/>
        <v>54.582402205273155</v>
      </c>
      <c r="S15" s="62"/>
    </row>
    <row r="16" spans="1:21" s="63" customFormat="1">
      <c r="A16" s="24">
        <v>5</v>
      </c>
      <c r="B16" s="25" t="s">
        <v>13</v>
      </c>
      <c r="C16" s="26" t="s">
        <v>8</v>
      </c>
      <c r="D16" s="60">
        <v>5910</v>
      </c>
      <c r="E16" s="60">
        <f>E14-'[1]3-1 (2)'!$D$135</f>
        <v>6000.7</v>
      </c>
      <c r="F16" s="60">
        <f>F14-'[1]3-1 (2)'!$E$135</f>
        <v>6135.8000000000011</v>
      </c>
      <c r="G16" s="60">
        <f>G14-'[1]3-1 (2)'!$H$135</f>
        <v>6354.3000000000011</v>
      </c>
      <c r="H16" s="60">
        <f>H14-'[1]3-1 (2)'!$H$135</f>
        <v>6404.3000000000011</v>
      </c>
      <c r="I16" s="61"/>
      <c r="J16" s="60">
        <f>J14-'[1]3-1 (2)'!$J$135</f>
        <v>6434.3000000000011</v>
      </c>
      <c r="K16" s="62"/>
      <c r="L16" s="60">
        <f>L14-89.6</f>
        <v>6464.309940000001</v>
      </c>
      <c r="M16" s="62"/>
      <c r="N16" s="60">
        <f>N14-89.6</f>
        <v>6503.6333996400008</v>
      </c>
      <c r="O16" s="62"/>
      <c r="P16" s="60">
        <f>P14-89.6</f>
        <v>6533.9622732783446</v>
      </c>
      <c r="Q16" s="62"/>
      <c r="R16" s="60">
        <f>R14-89.6</f>
        <v>6564.4306597354243</v>
      </c>
      <c r="S16" s="62"/>
    </row>
    <row r="17" spans="1:19" s="63" customFormat="1" ht="24">
      <c r="A17" s="24">
        <v>6</v>
      </c>
      <c r="B17" s="25" t="s">
        <v>14</v>
      </c>
      <c r="C17" s="26" t="s">
        <v>8</v>
      </c>
      <c r="D17" s="60">
        <v>98</v>
      </c>
      <c r="E17" s="60">
        <v>550</v>
      </c>
      <c r="F17" s="60">
        <v>550</v>
      </c>
      <c r="G17" s="60">
        <v>560</v>
      </c>
      <c r="H17" s="60">
        <v>580</v>
      </c>
      <c r="I17" s="61"/>
      <c r="J17" s="60">
        <v>580</v>
      </c>
      <c r="K17" s="62"/>
      <c r="L17" s="60">
        <v>580</v>
      </c>
      <c r="M17" s="62"/>
      <c r="N17" s="60">
        <v>580</v>
      </c>
      <c r="O17" s="62"/>
      <c r="P17" s="60">
        <v>580</v>
      </c>
      <c r="Q17" s="62"/>
      <c r="R17" s="60">
        <v>580</v>
      </c>
      <c r="S17" s="62"/>
    </row>
    <row r="18" spans="1:19" s="63" customFormat="1">
      <c r="A18" s="24"/>
      <c r="B18" s="25" t="s">
        <v>15</v>
      </c>
      <c r="C18" s="26" t="s">
        <v>8</v>
      </c>
      <c r="D18" s="60">
        <v>98</v>
      </c>
      <c r="E18" s="60">
        <v>230</v>
      </c>
      <c r="F18" s="60">
        <v>230</v>
      </c>
      <c r="G18" s="60">
        <v>225</v>
      </c>
      <c r="H18" s="60">
        <v>225</v>
      </c>
      <c r="I18" s="61"/>
      <c r="J18" s="60">
        <v>225</v>
      </c>
      <c r="K18" s="61"/>
      <c r="L18" s="60">
        <v>225</v>
      </c>
      <c r="M18" s="61"/>
      <c r="N18" s="60">
        <v>225</v>
      </c>
      <c r="O18" s="61"/>
      <c r="P18" s="60">
        <v>225</v>
      </c>
      <c r="Q18" s="61"/>
      <c r="R18" s="60">
        <v>225</v>
      </c>
      <c r="S18" s="61"/>
    </row>
    <row r="19" spans="1:19" s="63" customFormat="1">
      <c r="A19" s="24"/>
      <c r="B19" s="25" t="s">
        <v>16</v>
      </c>
      <c r="C19" s="26" t="s">
        <v>8</v>
      </c>
      <c r="D19" s="60">
        <v>8161</v>
      </c>
      <c r="E19" s="60">
        <f>E14+E18</f>
        <v>6320.9</v>
      </c>
      <c r="F19" s="60">
        <f>F14+F18</f>
        <v>6455.4000000000015</v>
      </c>
      <c r="G19" s="60">
        <f t="shared" ref="G19" si="5">G14+G18</f>
        <v>6668.9000000000015</v>
      </c>
      <c r="H19" s="60">
        <f t="shared" ref="H19:J19" si="6">H14+H18</f>
        <v>6718.9000000000015</v>
      </c>
      <c r="I19" s="61"/>
      <c r="J19" s="60">
        <f t="shared" si="6"/>
        <v>6748.9000000000015</v>
      </c>
      <c r="K19" s="62"/>
      <c r="L19" s="60">
        <f t="shared" ref="L19" si="7">L14+L18</f>
        <v>6778.9099400000014</v>
      </c>
      <c r="M19" s="62"/>
      <c r="N19" s="60">
        <f t="shared" ref="N19" si="8">N14+N18</f>
        <v>6818.2333996400012</v>
      </c>
      <c r="O19" s="62"/>
      <c r="P19" s="60">
        <f t="shared" ref="P19:R19" si="9">P14+P18</f>
        <v>6848.5622732783449</v>
      </c>
      <c r="Q19" s="62"/>
      <c r="R19" s="60">
        <f t="shared" si="9"/>
        <v>6879.0306597354247</v>
      </c>
      <c r="S19" s="62"/>
    </row>
    <row r="20" spans="1:19" s="63" customFormat="1" ht="24">
      <c r="A20" s="24">
        <v>7</v>
      </c>
      <c r="B20" s="25" t="s">
        <v>17</v>
      </c>
      <c r="C20" s="26" t="s">
        <v>12</v>
      </c>
      <c r="D20" s="64">
        <f>D18/D19*100</f>
        <v>1.2008332312216641</v>
      </c>
      <c r="E20" s="64">
        <f>E18/E19*100</f>
        <v>3.6387223338448642</v>
      </c>
      <c r="F20" s="64">
        <f>F18/F19*100</f>
        <v>3.5629085726678431</v>
      </c>
      <c r="G20" s="64">
        <f>G18/G19*100</f>
        <v>3.3738697536325324</v>
      </c>
      <c r="H20" s="64">
        <f>H18/H19*100</f>
        <v>3.3487624462337577</v>
      </c>
      <c r="I20" s="61"/>
      <c r="J20" s="64">
        <f>J18/J19*100</f>
        <v>3.3338766317473949</v>
      </c>
      <c r="K20" s="62"/>
      <c r="L20" s="64">
        <f>L18/L19*100</f>
        <v>3.3191177046379221</v>
      </c>
      <c r="M20" s="62"/>
      <c r="N20" s="64">
        <f>N18/N19*100</f>
        <v>3.2999750347631087</v>
      </c>
      <c r="O20" s="62"/>
      <c r="P20" s="64">
        <f>P18/P19*100</f>
        <v>3.2853610877994472</v>
      </c>
      <c r="Q20" s="62"/>
      <c r="R20" s="64">
        <f>R18/R19*100</f>
        <v>3.2708096696963076</v>
      </c>
      <c r="S20" s="62"/>
    </row>
    <row r="21" spans="1:19" s="63" customFormat="1">
      <c r="A21" s="24"/>
      <c r="B21" s="25" t="s">
        <v>18</v>
      </c>
      <c r="C21" s="26" t="s">
        <v>8</v>
      </c>
      <c r="D21" s="64">
        <v>115</v>
      </c>
      <c r="E21" s="64">
        <v>87</v>
      </c>
      <c r="F21" s="64">
        <v>95</v>
      </c>
      <c r="G21" s="64">
        <v>98</v>
      </c>
      <c r="H21" s="64">
        <v>98</v>
      </c>
      <c r="I21" s="61"/>
      <c r="J21" s="64">
        <v>98</v>
      </c>
      <c r="K21" s="62"/>
      <c r="L21" s="64">
        <v>98</v>
      </c>
      <c r="M21" s="62"/>
      <c r="N21" s="64">
        <v>98</v>
      </c>
      <c r="O21" s="62"/>
      <c r="P21" s="64">
        <v>98</v>
      </c>
      <c r="Q21" s="62"/>
      <c r="R21" s="64">
        <v>98</v>
      </c>
      <c r="S21" s="62"/>
    </row>
    <row r="22" spans="1:19" s="63" customFormat="1" ht="24">
      <c r="A22" s="24">
        <v>8</v>
      </c>
      <c r="B22" s="25" t="s">
        <v>19</v>
      </c>
      <c r="C22" s="26" t="s">
        <v>12</v>
      </c>
      <c r="D22" s="64">
        <f t="shared" ref="D22" si="10">D21/D19*100</f>
        <v>1.4091410366376669</v>
      </c>
      <c r="E22" s="64">
        <f t="shared" ref="E22:J22" si="11">E21/E19*100</f>
        <v>1.3763862741065356</v>
      </c>
      <c r="F22" s="64">
        <f t="shared" si="11"/>
        <v>1.4716361495801962</v>
      </c>
      <c r="G22" s="64">
        <f t="shared" si="11"/>
        <v>1.4695077149155029</v>
      </c>
      <c r="H22" s="64">
        <f t="shared" si="11"/>
        <v>1.4585720876929256</v>
      </c>
      <c r="I22" s="61"/>
      <c r="J22" s="64">
        <f t="shared" si="11"/>
        <v>1.452088488494421</v>
      </c>
      <c r="K22" s="62"/>
      <c r="L22" s="64">
        <f t="shared" ref="L22" si="12">L21/L19*100</f>
        <v>1.4456601557978506</v>
      </c>
      <c r="M22" s="62"/>
      <c r="N22" s="64">
        <f t="shared" ref="N22" si="13">N21/N19*100</f>
        <v>1.4373224595857095</v>
      </c>
      <c r="O22" s="62"/>
      <c r="P22" s="64">
        <f t="shared" ref="P22:R22" si="14">P21/P19*100</f>
        <v>1.4309572737970928</v>
      </c>
      <c r="Q22" s="62"/>
      <c r="R22" s="64">
        <f t="shared" si="14"/>
        <v>1.4246193228010584</v>
      </c>
      <c r="S22" s="62"/>
    </row>
    <row r="23" spans="1:19" s="63" customFormat="1" ht="24.75" thickBot="1">
      <c r="A23" s="29">
        <v>9</v>
      </c>
      <c r="B23" s="30" t="s">
        <v>20</v>
      </c>
      <c r="C23" s="31" t="s">
        <v>21</v>
      </c>
      <c r="D23" s="65">
        <v>103400</v>
      </c>
      <c r="E23" s="76">
        <f>'[1]6 (2)'!$D$6</f>
        <v>112602.01249646318</v>
      </c>
      <c r="F23" s="76">
        <f>'[1]6 (2)'!$E$6</f>
        <v>116229.5536003235</v>
      </c>
      <c r="G23" s="76">
        <v>120082</v>
      </c>
      <c r="H23" s="76">
        <v>125629.4</v>
      </c>
      <c r="I23" s="76">
        <v>125791</v>
      </c>
      <c r="J23" s="76">
        <v>132434.5</v>
      </c>
      <c r="K23" s="76">
        <v>131947.5</v>
      </c>
      <c r="L23" s="76">
        <v>140711</v>
      </c>
      <c r="M23" s="76">
        <v>137006</v>
      </c>
      <c r="N23" s="76">
        <v>146887</v>
      </c>
      <c r="O23" s="76">
        <v>143192</v>
      </c>
      <c r="P23" s="76">
        <v>152996</v>
      </c>
      <c r="Q23" s="76">
        <v>149073</v>
      </c>
      <c r="R23" s="76">
        <f>P23*1.041</f>
        <v>159268.83599999998</v>
      </c>
      <c r="S23" s="76">
        <f>R23*1.01</f>
        <v>160861.52435999998</v>
      </c>
    </row>
    <row r="24" spans="1:19" ht="13.5" thickBot="1">
      <c r="A24" s="32">
        <v>10</v>
      </c>
      <c r="B24" s="33" t="s">
        <v>22</v>
      </c>
      <c r="C24" s="34"/>
      <c r="D24" s="35"/>
      <c r="E24" s="35"/>
      <c r="F24" s="35"/>
      <c r="G24" s="35"/>
      <c r="H24" s="35"/>
      <c r="I24" s="35"/>
      <c r="J24" s="35"/>
      <c r="K24" s="75"/>
      <c r="L24" s="35"/>
      <c r="M24" s="75"/>
      <c r="N24" s="35"/>
      <c r="O24" s="75"/>
      <c r="P24" s="35"/>
      <c r="Q24" s="75"/>
      <c r="R24" s="35"/>
      <c r="S24" s="75"/>
    </row>
    <row r="25" spans="1:19" ht="0.75" customHeight="1">
      <c r="A25" s="24"/>
      <c r="B25" s="36" t="s">
        <v>23</v>
      </c>
      <c r="C25" s="37" t="s">
        <v>24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idden="1">
      <c r="A26" s="24"/>
      <c r="B26" s="36" t="s">
        <v>25</v>
      </c>
      <c r="C26" s="37" t="s">
        <v>24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idden="1">
      <c r="A27" s="24"/>
      <c r="B27" s="36" t="s">
        <v>26</v>
      </c>
      <c r="C27" s="37" t="s">
        <v>27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hidden="1">
      <c r="A28" s="24"/>
      <c r="B28" s="36" t="s">
        <v>28</v>
      </c>
      <c r="C28" s="37" t="s">
        <v>27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 ht="24" hidden="1">
      <c r="A29" s="24"/>
      <c r="B29" s="36" t="s">
        <v>29</v>
      </c>
      <c r="C29" s="37" t="s">
        <v>30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s="63" customFormat="1" ht="16.5" customHeight="1">
      <c r="A30" s="24"/>
      <c r="B30" s="66" t="s">
        <v>31</v>
      </c>
      <c r="C30" s="67" t="s">
        <v>116</v>
      </c>
      <c r="D30" s="68">
        <v>286809</v>
      </c>
      <c r="E30" s="68"/>
      <c r="F30" s="77">
        <v>510.49</v>
      </c>
      <c r="G30" s="77" t="s">
        <v>117</v>
      </c>
      <c r="H30" s="77">
        <v>805.46</v>
      </c>
      <c r="I30" s="77"/>
      <c r="J30" s="77">
        <f>H30*1.013</f>
        <v>815.93097999999998</v>
      </c>
      <c r="K30" s="77"/>
      <c r="L30" s="77">
        <f>J30*1.013</f>
        <v>826.53808273999994</v>
      </c>
      <c r="M30" s="77"/>
      <c r="N30" s="77">
        <f>L30*1.013</f>
        <v>837.28307781561989</v>
      </c>
      <c r="O30" s="77"/>
      <c r="P30" s="77">
        <f>N30*1.013</f>
        <v>848.16775782722289</v>
      </c>
      <c r="Q30" s="68"/>
      <c r="R30" s="77">
        <f>P30*1.013</f>
        <v>859.19393867897668</v>
      </c>
      <c r="S30" s="68"/>
    </row>
    <row r="31" spans="1:19" hidden="1">
      <c r="A31" s="24"/>
      <c r="B31" s="36" t="str">
        <f>[2]Мирнинский!B26</f>
        <v>Алмазы природные несортированные</v>
      </c>
      <c r="C31" s="37" t="str">
        <f>[2]Мирнинский!C26</f>
        <v>т.карат</v>
      </c>
      <c r="D31" s="59">
        <v>4297.3</v>
      </c>
      <c r="E31" s="59">
        <v>4297.3</v>
      </c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0.75" hidden="1" customHeight="1">
      <c r="A32" s="24"/>
      <c r="B32" s="36" t="s">
        <v>32</v>
      </c>
      <c r="C32" s="37" t="s">
        <v>33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24" hidden="1">
      <c r="A33" s="24"/>
      <c r="B33" s="36" t="s">
        <v>34</v>
      </c>
      <c r="C33" s="37" t="s">
        <v>33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idden="1">
      <c r="A34" s="24"/>
      <c r="B34" s="36" t="s">
        <v>35</v>
      </c>
      <c r="C34" s="37" t="s">
        <v>36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24" hidden="1">
      <c r="A35" s="24"/>
      <c r="B35" s="36" t="s">
        <v>37</v>
      </c>
      <c r="C35" s="37" t="s">
        <v>38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24" hidden="1">
      <c r="A36" s="24"/>
      <c r="B36" s="36" t="s">
        <v>37</v>
      </c>
      <c r="C36" s="37" t="s">
        <v>39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hidden="1">
      <c r="A37" s="24"/>
      <c r="B37" s="36" t="s">
        <v>40</v>
      </c>
      <c r="C37" s="37" t="s">
        <v>41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ht="3" hidden="1" customHeight="1">
      <c r="A38" s="24"/>
      <c r="B38" s="36" t="s">
        <v>42</v>
      </c>
      <c r="C38" s="37" t="s">
        <v>41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hidden="1">
      <c r="A39" s="24"/>
      <c r="B39" s="36" t="s">
        <v>43</v>
      </c>
      <c r="C39" s="37" t="s">
        <v>41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idden="1">
      <c r="A40" s="24"/>
      <c r="B40" s="36" t="s">
        <v>44</v>
      </c>
      <c r="C40" s="37" t="s">
        <v>45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idden="1">
      <c r="A41" s="24"/>
      <c r="B41" s="36" t="s">
        <v>46</v>
      </c>
      <c r="C41" s="37" t="s">
        <v>47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hidden="1">
      <c r="A42" s="24"/>
      <c r="B42" s="36" t="s">
        <v>48</v>
      </c>
      <c r="C42" s="37" t="s">
        <v>47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1:19" hidden="1">
      <c r="A43" s="24"/>
      <c r="B43" s="36" t="s">
        <v>49</v>
      </c>
      <c r="C43" s="37" t="s">
        <v>47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1:19" hidden="1">
      <c r="A44" s="24"/>
      <c r="B44" s="36" t="s">
        <v>50</v>
      </c>
      <c r="C44" s="37" t="s">
        <v>47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ht="24" hidden="1">
      <c r="A45" s="24"/>
      <c r="B45" s="36" t="s">
        <v>51</v>
      </c>
      <c r="C45" s="37" t="s">
        <v>52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1:19" ht="24" hidden="1">
      <c r="A46" s="24"/>
      <c r="B46" s="36" t="s">
        <v>53</v>
      </c>
      <c r="C46" s="37" t="s">
        <v>52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1:19" hidden="1">
      <c r="A47" s="24"/>
      <c r="B47" s="36" t="s">
        <v>54</v>
      </c>
      <c r="C47" s="37" t="s">
        <v>47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hidden="1">
      <c r="A48" s="24"/>
      <c r="B48" s="36" t="s">
        <v>55</v>
      </c>
      <c r="C48" s="37" t="s">
        <v>47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1:19" hidden="1">
      <c r="A49" s="24"/>
      <c r="B49" s="36" t="s">
        <v>56</v>
      </c>
      <c r="C49" s="37" t="s">
        <v>57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ht="24" hidden="1">
      <c r="A50" s="24"/>
      <c r="B50" s="36" t="s">
        <v>58</v>
      </c>
      <c r="C50" s="37" t="s">
        <v>59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spans="1:19" hidden="1">
      <c r="A51" s="24"/>
      <c r="B51" s="41" t="s">
        <v>60</v>
      </c>
      <c r="C51" s="42" t="s">
        <v>27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idden="1">
      <c r="A52" s="24"/>
      <c r="B52" s="41" t="s">
        <v>61</v>
      </c>
      <c r="C52" s="42" t="s">
        <v>27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idden="1">
      <c r="A53" s="24"/>
      <c r="B53" s="41" t="s">
        <v>62</v>
      </c>
      <c r="C53" s="42" t="s">
        <v>27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21" hidden="1" customHeight="1">
      <c r="A54" s="24"/>
      <c r="B54" s="41" t="s">
        <v>63</v>
      </c>
      <c r="C54" s="42" t="s">
        <v>27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>
      <c r="A55" s="24"/>
      <c r="B55" s="41" t="s">
        <v>64</v>
      </c>
      <c r="C55" s="42" t="s">
        <v>27</v>
      </c>
      <c r="D55" s="39">
        <v>16</v>
      </c>
      <c r="E55" s="39">
        <v>10</v>
      </c>
      <c r="F55" s="39">
        <v>12</v>
      </c>
      <c r="G55" s="39">
        <f>F55*G56</f>
        <v>11.923745819397993</v>
      </c>
      <c r="H55" s="39">
        <f>G55*I56</f>
        <v>11.989966555183946</v>
      </c>
      <c r="I55" s="39"/>
      <c r="J55" s="39">
        <f>H55*K56</f>
        <v>12.049916387959865</v>
      </c>
      <c r="K55" s="39"/>
      <c r="L55" s="39">
        <f>J55*M56</f>
        <v>12.110165969899663</v>
      </c>
      <c r="M55" s="39"/>
      <c r="N55" s="39">
        <f>L55*M56</f>
        <v>12.17071679974916</v>
      </c>
      <c r="O55" s="39"/>
      <c r="P55" s="39">
        <f>N55*O56</f>
        <v>12.231570383747904</v>
      </c>
      <c r="Q55" s="39"/>
      <c r="R55" s="39">
        <f>P55*Q56</f>
        <v>12.292728235666642</v>
      </c>
      <c r="S55" s="39"/>
    </row>
    <row r="56" spans="1:19">
      <c r="A56" s="24"/>
      <c r="B56" s="41" t="s">
        <v>65</v>
      </c>
      <c r="C56" s="42" t="s">
        <v>27</v>
      </c>
      <c r="D56" s="39">
        <v>169.6</v>
      </c>
      <c r="E56" s="39"/>
      <c r="F56" s="78">
        <f>G12/F12</f>
        <v>1.0243233984241178</v>
      </c>
      <c r="G56" s="79">
        <f>H12/G12</f>
        <v>0.99364548494983274</v>
      </c>
      <c r="H56" s="39"/>
      <c r="I56" s="79">
        <f>J12/H12</f>
        <v>1.0055536856277347</v>
      </c>
      <c r="J56" s="39"/>
      <c r="K56" s="79">
        <f>L12/J12</f>
        <v>1.0049999999999999</v>
      </c>
      <c r="L56" s="39"/>
      <c r="M56" s="79">
        <f>N12/L12</f>
        <v>1.0049999999999999</v>
      </c>
      <c r="N56" s="39"/>
      <c r="O56" s="79">
        <f>P12/N12</f>
        <v>1.0049999999999999</v>
      </c>
      <c r="P56" s="39"/>
      <c r="Q56" s="79">
        <f>R12/P12</f>
        <v>1.0049999999999999</v>
      </c>
      <c r="R56" s="39"/>
      <c r="S56" s="39"/>
    </row>
    <row r="57" spans="1:19" hidden="1">
      <c r="A57" s="24"/>
      <c r="B57" s="41" t="s">
        <v>66</v>
      </c>
      <c r="C57" s="42" t="s">
        <v>27</v>
      </c>
      <c r="D57" s="40"/>
      <c r="E57" s="40"/>
      <c r="F57" s="40"/>
      <c r="G57" s="39" t="e">
        <f>F57*#REF!</f>
        <v>#REF!</v>
      </c>
      <c r="H57" s="39" t="e">
        <f>G57*I58</f>
        <v>#REF!</v>
      </c>
      <c r="I57" s="40"/>
      <c r="J57" s="39" t="e">
        <f t="shared" ref="J57:J59" si="15">H57*K58</f>
        <v>#REF!</v>
      </c>
      <c r="K57" s="40"/>
      <c r="L57" s="39" t="e">
        <f t="shared" ref="L57:L59" si="16">J57*M58</f>
        <v>#REF!</v>
      </c>
      <c r="M57" s="40"/>
      <c r="N57" s="39" t="e">
        <f t="shared" ref="N57:N62" si="17">L57*M58</f>
        <v>#REF!</v>
      </c>
      <c r="O57" s="40"/>
      <c r="P57" s="39" t="e">
        <f t="shared" ref="P57:P59" si="18">N57*O58</f>
        <v>#REF!</v>
      </c>
      <c r="Q57" s="40"/>
      <c r="R57" s="39" t="e">
        <f t="shared" ref="R57:R59" si="19">P57*Q58</f>
        <v>#REF!</v>
      </c>
      <c r="S57" s="40"/>
    </row>
    <row r="58" spans="1:19" ht="24" hidden="1">
      <c r="A58" s="24"/>
      <c r="B58" s="41" t="s">
        <v>67</v>
      </c>
      <c r="C58" s="42" t="s">
        <v>27</v>
      </c>
      <c r="D58" s="40"/>
      <c r="E58" s="40"/>
      <c r="F58" s="40"/>
      <c r="G58" s="39" t="e">
        <f>F58*#REF!</f>
        <v>#REF!</v>
      </c>
      <c r="H58" s="39" t="e">
        <f>G58*I59</f>
        <v>#REF!</v>
      </c>
      <c r="I58" s="40"/>
      <c r="J58" s="39" t="e">
        <f t="shared" si="15"/>
        <v>#REF!</v>
      </c>
      <c r="K58" s="40"/>
      <c r="L58" s="39" t="e">
        <f t="shared" si="16"/>
        <v>#REF!</v>
      </c>
      <c r="M58" s="40"/>
      <c r="N58" s="39" t="e">
        <f t="shared" si="17"/>
        <v>#REF!</v>
      </c>
      <c r="O58" s="40"/>
      <c r="P58" s="39" t="e">
        <f t="shared" si="18"/>
        <v>#REF!</v>
      </c>
      <c r="Q58" s="40"/>
      <c r="R58" s="39" t="e">
        <f t="shared" si="19"/>
        <v>#REF!</v>
      </c>
      <c r="S58" s="40"/>
    </row>
    <row r="59" spans="1:19" hidden="1">
      <c r="A59" s="24"/>
      <c r="B59" s="41" t="s">
        <v>68</v>
      </c>
      <c r="C59" s="42" t="s">
        <v>27</v>
      </c>
      <c r="D59" s="40"/>
      <c r="E59" s="40"/>
      <c r="F59" s="40"/>
      <c r="G59" s="39" t="e">
        <f>F59*#REF!</f>
        <v>#REF!</v>
      </c>
      <c r="H59" s="39" t="e">
        <f>G59*I60</f>
        <v>#REF!</v>
      </c>
      <c r="I59" s="40"/>
      <c r="J59" s="39" t="e">
        <f t="shared" si="15"/>
        <v>#REF!</v>
      </c>
      <c r="K59" s="40"/>
      <c r="L59" s="39" t="e">
        <f t="shared" si="16"/>
        <v>#REF!</v>
      </c>
      <c r="M59" s="40"/>
      <c r="N59" s="39" t="e">
        <f t="shared" si="17"/>
        <v>#REF!</v>
      </c>
      <c r="O59" s="40"/>
      <c r="P59" s="39" t="e">
        <f t="shared" si="18"/>
        <v>#REF!</v>
      </c>
      <c r="Q59" s="40"/>
      <c r="R59" s="39" t="e">
        <f t="shared" si="19"/>
        <v>#REF!</v>
      </c>
      <c r="S59" s="40"/>
    </row>
    <row r="60" spans="1:19" ht="18" customHeight="1">
      <c r="A60" s="24"/>
      <c r="B60" s="41" t="s">
        <v>69</v>
      </c>
      <c r="C60" s="42" t="s">
        <v>27</v>
      </c>
      <c r="D60" s="39">
        <v>184.9</v>
      </c>
      <c r="E60" s="39">
        <v>410</v>
      </c>
      <c r="F60" s="39">
        <v>484.2</v>
      </c>
      <c r="G60" s="39">
        <f>F60*G56</f>
        <v>481.12314381270897</v>
      </c>
      <c r="H60" s="39">
        <f>G60*I56</f>
        <v>483.79515050167214</v>
      </c>
      <c r="I60" s="39"/>
      <c r="J60" s="39">
        <f>H60*K56</f>
        <v>486.21412625418043</v>
      </c>
      <c r="K60" s="39"/>
      <c r="L60" s="39">
        <f>J60*M56</f>
        <v>488.6451968854513</v>
      </c>
      <c r="M60" s="39"/>
      <c r="N60" s="39">
        <f>L60*O56</f>
        <v>491.08842286987851</v>
      </c>
      <c r="O60" s="39"/>
      <c r="P60" s="39">
        <f>N60*O56</f>
        <v>493.54386498422787</v>
      </c>
      <c r="Q60" s="39"/>
      <c r="R60" s="39">
        <f>P60*Q56</f>
        <v>496.01158430914893</v>
      </c>
      <c r="S60" s="39"/>
    </row>
    <row r="61" spans="1:19" ht="24" hidden="1">
      <c r="A61" s="24"/>
      <c r="B61" s="41" t="s">
        <v>70</v>
      </c>
      <c r="C61" s="42" t="s">
        <v>27</v>
      </c>
      <c r="D61" s="40"/>
      <c r="E61" s="40"/>
      <c r="F61" s="40"/>
      <c r="G61" s="39" t="e">
        <f>F61*#REF!</f>
        <v>#REF!</v>
      </c>
      <c r="H61" s="39" t="e">
        <f>G61*I62</f>
        <v>#REF!</v>
      </c>
      <c r="I61" s="40"/>
      <c r="J61" s="39" t="e">
        <f t="shared" ref="J61:J62" si="20">H61*K57</f>
        <v>#REF!</v>
      </c>
      <c r="K61" s="40"/>
      <c r="L61" s="39" t="e">
        <f t="shared" ref="L61:L62" si="21">J61*M57</f>
        <v>#REF!</v>
      </c>
      <c r="M61" s="40"/>
      <c r="N61" s="39" t="e">
        <f t="shared" si="17"/>
        <v>#REF!</v>
      </c>
      <c r="O61" s="40"/>
      <c r="P61" s="39" t="e">
        <f t="shared" ref="P61:P62" si="22">N61*O57</f>
        <v>#REF!</v>
      </c>
      <c r="Q61" s="40"/>
      <c r="R61" s="39" t="e">
        <f t="shared" ref="R61:R62" si="23">P61*Q57</f>
        <v>#REF!</v>
      </c>
      <c r="S61" s="40"/>
    </row>
    <row r="62" spans="1:19" hidden="1">
      <c r="A62" s="24"/>
      <c r="B62" s="41" t="s">
        <v>71</v>
      </c>
      <c r="C62" s="42" t="s">
        <v>72</v>
      </c>
      <c r="D62" s="40"/>
      <c r="E62" s="40"/>
      <c r="F62" s="40"/>
      <c r="G62" s="39" t="e">
        <f>F62*#REF!</f>
        <v>#REF!</v>
      </c>
      <c r="H62" s="39" t="e">
        <f>G62*I63</f>
        <v>#REF!</v>
      </c>
      <c r="I62" s="40"/>
      <c r="J62" s="39" t="e">
        <f t="shared" si="20"/>
        <v>#REF!</v>
      </c>
      <c r="K62" s="40"/>
      <c r="L62" s="39" t="e">
        <f t="shared" si="21"/>
        <v>#REF!</v>
      </c>
      <c r="M62" s="40"/>
      <c r="N62" s="39" t="e">
        <f t="shared" si="17"/>
        <v>#REF!</v>
      </c>
      <c r="O62" s="40"/>
      <c r="P62" s="39" t="e">
        <f t="shared" si="22"/>
        <v>#REF!</v>
      </c>
      <c r="Q62" s="40"/>
      <c r="R62" s="39" t="e">
        <f t="shared" si="23"/>
        <v>#REF!</v>
      </c>
      <c r="S62" s="40"/>
    </row>
    <row r="63" spans="1:19" ht="13.5" thickBot="1">
      <c r="A63" s="24"/>
      <c r="B63" s="41" t="s">
        <v>73</v>
      </c>
      <c r="C63" s="42" t="s">
        <v>74</v>
      </c>
      <c r="D63" s="39">
        <v>9.4</v>
      </c>
      <c r="E63" s="39">
        <v>9.8000000000000007</v>
      </c>
      <c r="F63" s="39">
        <v>9.4</v>
      </c>
      <c r="G63" s="39">
        <f>F63*G56</f>
        <v>9.3402675585284278</v>
      </c>
      <c r="H63" s="39">
        <f>G63*I56</f>
        <v>9.3921404682274243</v>
      </c>
      <c r="I63" s="39"/>
      <c r="J63" s="39">
        <f>H63*K56</f>
        <v>9.439101170568561</v>
      </c>
      <c r="K63" s="39"/>
      <c r="L63" s="39">
        <f>J63*M56</f>
        <v>9.4862966764214036</v>
      </c>
      <c r="M63" s="39"/>
      <c r="N63" s="39">
        <f>L63*O56</f>
        <v>9.5337281598035091</v>
      </c>
      <c r="O63" s="39"/>
      <c r="P63" s="39">
        <f>N63*O56</f>
        <v>9.5813968006025263</v>
      </c>
      <c r="Q63" s="39"/>
      <c r="R63" s="39">
        <f>P63*Q56</f>
        <v>9.629303784605538</v>
      </c>
      <c r="S63" s="39"/>
    </row>
    <row r="64" spans="1:19" ht="12.75" customHeight="1" thickBot="1">
      <c r="A64" s="18">
        <v>11</v>
      </c>
      <c r="B64" s="19" t="s">
        <v>75</v>
      </c>
      <c r="C64" s="43" t="s">
        <v>76</v>
      </c>
      <c r="D64" s="44">
        <f t="shared" ref="D64" si="24">SUM(D65:D67)</f>
        <v>0</v>
      </c>
      <c r="E64" s="44">
        <f t="shared" ref="E64:I64" si="25">SUM(E65:E67)</f>
        <v>0</v>
      </c>
      <c r="F64" s="44">
        <f t="shared" si="25"/>
        <v>0</v>
      </c>
      <c r="G64" s="44">
        <f t="shared" si="25"/>
        <v>0</v>
      </c>
      <c r="H64" s="44">
        <f t="shared" si="25"/>
        <v>0</v>
      </c>
      <c r="I64" s="44">
        <f t="shared" si="25"/>
        <v>0</v>
      </c>
      <c r="J64" s="44">
        <f t="shared" ref="J64:Q64" si="26">SUM(J65:J67)</f>
        <v>0</v>
      </c>
      <c r="K64" s="44">
        <f t="shared" si="26"/>
        <v>0</v>
      </c>
      <c r="L64" s="44">
        <f t="shared" si="26"/>
        <v>0</v>
      </c>
      <c r="M64" s="44">
        <f t="shared" si="26"/>
        <v>0</v>
      </c>
      <c r="N64" s="44">
        <f t="shared" si="26"/>
        <v>0</v>
      </c>
      <c r="O64" s="44">
        <f t="shared" si="26"/>
        <v>0</v>
      </c>
      <c r="P64" s="44">
        <f t="shared" si="26"/>
        <v>0</v>
      </c>
      <c r="Q64" s="44">
        <f t="shared" si="26"/>
        <v>0</v>
      </c>
      <c r="R64" s="44">
        <f t="shared" ref="R64:S64" si="27">SUM(R65:R67)</f>
        <v>0</v>
      </c>
      <c r="S64" s="44">
        <f t="shared" si="27"/>
        <v>0</v>
      </c>
    </row>
    <row r="65" spans="1:19" ht="13.5" hidden="1" thickBot="1">
      <c r="A65" s="24"/>
      <c r="B65" s="25" t="s">
        <v>77</v>
      </c>
      <c r="C65" s="45" t="s">
        <v>76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</row>
    <row r="66" spans="1:19" ht="13.5" hidden="1" thickBot="1">
      <c r="A66" s="24"/>
      <c r="B66" s="25" t="s">
        <v>78</v>
      </c>
      <c r="C66" s="45" t="s">
        <v>76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</row>
    <row r="67" spans="1:19" ht="13.5" hidden="1" thickBot="1">
      <c r="A67" s="24"/>
      <c r="B67" s="25" t="s">
        <v>79</v>
      </c>
      <c r="C67" s="45" t="s">
        <v>76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</row>
    <row r="68" spans="1:19" ht="13.5" hidden="1" thickBot="1">
      <c r="A68" s="46">
        <v>12</v>
      </c>
      <c r="B68" s="47" t="s">
        <v>80</v>
      </c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</row>
    <row r="69" spans="1:19" ht="13.5" hidden="1" thickBot="1">
      <c r="A69" s="24"/>
      <c r="B69" s="25" t="s">
        <v>81</v>
      </c>
      <c r="C69" s="26" t="s">
        <v>82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</row>
    <row r="70" spans="1:19" ht="13.5" hidden="1" thickBot="1">
      <c r="A70" s="24"/>
      <c r="B70" s="25" t="s">
        <v>83</v>
      </c>
      <c r="C70" s="26" t="s">
        <v>82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</row>
    <row r="71" spans="1:19" ht="13.5" hidden="1" thickBot="1">
      <c r="A71" s="24"/>
      <c r="B71" s="25" t="s">
        <v>84</v>
      </c>
      <c r="C71" s="26" t="s">
        <v>82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9" ht="13.5" hidden="1" thickBot="1">
      <c r="A72" s="24"/>
      <c r="B72" s="25" t="s">
        <v>85</v>
      </c>
      <c r="C72" s="26" t="s">
        <v>82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</row>
    <row r="73" spans="1:19" ht="13.5" hidden="1" thickBot="1">
      <c r="A73" s="24"/>
      <c r="B73" s="25" t="s">
        <v>86</v>
      </c>
      <c r="C73" s="26" t="s">
        <v>82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</row>
    <row r="74" spans="1:19" ht="13.5" hidden="1" thickBot="1">
      <c r="A74" s="24"/>
      <c r="B74" s="25" t="s">
        <v>87</v>
      </c>
      <c r="C74" s="26" t="s">
        <v>82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</row>
    <row r="75" spans="1:19" ht="13.5" hidden="1" thickBot="1">
      <c r="A75" s="46">
        <v>13</v>
      </c>
      <c r="B75" s="47" t="s">
        <v>88</v>
      </c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</row>
    <row r="76" spans="1:19" ht="13.5" hidden="1" thickBot="1">
      <c r="A76" s="24"/>
      <c r="B76" s="25" t="s">
        <v>89</v>
      </c>
      <c r="C76" s="26" t="s">
        <v>27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7" spans="1:19" ht="13.5" hidden="1" thickBot="1">
      <c r="A77" s="24"/>
      <c r="B77" s="25" t="s">
        <v>90</v>
      </c>
      <c r="C77" s="26" t="s">
        <v>27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</row>
    <row r="78" spans="1:19" ht="13.5" hidden="1" thickBot="1">
      <c r="A78" s="24"/>
      <c r="B78" s="25" t="s">
        <v>91</v>
      </c>
      <c r="C78" s="26" t="s">
        <v>92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1:19" ht="13.5" hidden="1" thickBot="1">
      <c r="A79" s="24"/>
      <c r="B79" s="25" t="s">
        <v>93</v>
      </c>
      <c r="C79" s="26" t="s">
        <v>27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</row>
    <row r="80" spans="1:19" ht="13.5" hidden="1" thickBot="1">
      <c r="A80" s="24"/>
      <c r="B80" s="25" t="s">
        <v>94</v>
      </c>
      <c r="C80" s="26" t="s">
        <v>27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</row>
    <row r="81" spans="1:19" ht="13.5" hidden="1" thickBot="1">
      <c r="A81" s="24"/>
      <c r="B81" s="25" t="s">
        <v>95</v>
      </c>
      <c r="C81" s="26" t="s">
        <v>27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</row>
    <row r="82" spans="1:19" ht="13.5" hidden="1" thickBot="1">
      <c r="A82" s="29"/>
      <c r="B82" s="30" t="s">
        <v>96</v>
      </c>
      <c r="C82" s="31" t="s">
        <v>27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1:19" ht="35.25" customHeight="1">
      <c r="A83" s="51">
        <v>12</v>
      </c>
      <c r="B83" s="52" t="s">
        <v>97</v>
      </c>
      <c r="C83" s="53" t="s">
        <v>98</v>
      </c>
      <c r="D83" s="54">
        <v>433180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</row>
    <row r="84" spans="1:19" hidden="1">
      <c r="A84" s="24"/>
      <c r="B84" s="25" t="s">
        <v>99</v>
      </c>
      <c r="C84" s="26" t="s">
        <v>98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1:19" ht="17.25" customHeight="1">
      <c r="A85" s="24">
        <v>15</v>
      </c>
      <c r="B85" s="25" t="s">
        <v>100</v>
      </c>
      <c r="C85" s="26" t="s">
        <v>98</v>
      </c>
      <c r="D85" s="28" t="e">
        <f>C85/[2]Мирнинский!C80*13825207.6</f>
        <v>#VALUE!</v>
      </c>
      <c r="E85" s="28">
        <v>2612265</v>
      </c>
      <c r="F85" s="28">
        <v>4315000</v>
      </c>
      <c r="G85" s="28">
        <v>4660000</v>
      </c>
      <c r="H85" s="28">
        <f>G85*1.04</f>
        <v>4846400</v>
      </c>
      <c r="I85" s="28"/>
      <c r="J85" s="28">
        <f>H85*1.036</f>
        <v>5020870.4000000004</v>
      </c>
      <c r="K85" s="28"/>
      <c r="L85" s="28">
        <f>J85*1.041</f>
        <v>5226726.0864000004</v>
      </c>
      <c r="M85" s="28"/>
      <c r="N85" s="28">
        <f>L85*1.041</f>
        <v>5441021.8559424002</v>
      </c>
      <c r="O85" s="28"/>
      <c r="P85" s="28">
        <f>N85*1.041</f>
        <v>5664103.7520360379</v>
      </c>
      <c r="Q85" s="28"/>
      <c r="R85" s="28">
        <f>P85*1.041</f>
        <v>5896332.0058695152</v>
      </c>
      <c r="S85" s="28"/>
    </row>
    <row r="86" spans="1:19" hidden="1">
      <c r="A86" s="24"/>
      <c r="B86" s="25" t="s">
        <v>101</v>
      </c>
      <c r="C86" s="26" t="s">
        <v>12</v>
      </c>
      <c r="D86" s="55"/>
      <c r="E86" s="55"/>
      <c r="F86" s="28">
        <f t="shared" ref="F86" si="28">E86*1.054</f>
        <v>0</v>
      </c>
      <c r="G86" s="28">
        <f t="shared" ref="G86:G87" si="29">F86*1.067</f>
        <v>0</v>
      </c>
      <c r="H86" s="28">
        <f t="shared" ref="H86:H87" si="30">G86*1.04</f>
        <v>0</v>
      </c>
      <c r="I86" s="55"/>
      <c r="J86" s="28">
        <f t="shared" ref="J86:J87" si="31">H86*1.036</f>
        <v>0</v>
      </c>
      <c r="K86" s="55"/>
      <c r="L86" s="28">
        <f t="shared" ref="L86:L87" si="32">J86*1.041</f>
        <v>0</v>
      </c>
      <c r="M86" s="55"/>
      <c r="N86" s="28">
        <f t="shared" ref="N86:N87" si="33">L86*1.041</f>
        <v>0</v>
      </c>
      <c r="O86" s="55"/>
      <c r="P86" s="28">
        <f t="shared" ref="P86:P87" si="34">N86*1.041</f>
        <v>0</v>
      </c>
      <c r="Q86" s="55"/>
      <c r="R86" s="28">
        <f t="shared" ref="R86:R87" si="35">P86*1.041</f>
        <v>0</v>
      </c>
      <c r="S86" s="55"/>
    </row>
    <row r="87" spans="1:19">
      <c r="A87" s="24">
        <v>13</v>
      </c>
      <c r="B87" s="25" t="s">
        <v>102</v>
      </c>
      <c r="C87" s="26" t="s">
        <v>98</v>
      </c>
      <c r="D87" s="39">
        <v>392630</v>
      </c>
      <c r="E87" s="39">
        <v>391073</v>
      </c>
      <c r="F87" s="28">
        <f>E87*1.054</f>
        <v>412190.94200000004</v>
      </c>
      <c r="G87" s="28">
        <f t="shared" si="29"/>
        <v>439807.73511400004</v>
      </c>
      <c r="H87" s="28">
        <f t="shared" si="30"/>
        <v>457400.04451856005</v>
      </c>
      <c r="I87" s="27"/>
      <c r="J87" s="28">
        <f t="shared" si="31"/>
        <v>473866.44612122822</v>
      </c>
      <c r="K87" s="27"/>
      <c r="L87" s="28">
        <f t="shared" si="32"/>
        <v>493294.97041219851</v>
      </c>
      <c r="M87" s="27"/>
      <c r="N87" s="28">
        <f t="shared" si="33"/>
        <v>513520.06419909862</v>
      </c>
      <c r="O87" s="27"/>
      <c r="P87" s="28">
        <f t="shared" si="34"/>
        <v>534574.38683126157</v>
      </c>
      <c r="Q87" s="27"/>
      <c r="R87" s="28">
        <f t="shared" si="35"/>
        <v>556491.9366913432</v>
      </c>
      <c r="S87" s="27"/>
    </row>
    <row r="88" spans="1:19" ht="0.75" customHeight="1">
      <c r="A88" s="24"/>
      <c r="B88" s="25" t="s">
        <v>101</v>
      </c>
      <c r="C88" s="26" t="s">
        <v>12</v>
      </c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1:19">
      <c r="A89" s="24">
        <v>14</v>
      </c>
      <c r="B89" s="25" t="s">
        <v>103</v>
      </c>
      <c r="C89" s="26" t="s">
        <v>104</v>
      </c>
      <c r="D89" s="39">
        <v>17140.599999999999</v>
      </c>
      <c r="E89" s="39"/>
      <c r="F89" s="39">
        <f>E89/[2]Мирнинский!E84*421451.8</f>
        <v>0</v>
      </c>
      <c r="G89" s="27">
        <f>F89/421451.8*450035.1</f>
        <v>0</v>
      </c>
      <c r="H89" s="27"/>
      <c r="I89" s="27"/>
      <c r="J89" s="27"/>
      <c r="K89" s="27"/>
      <c r="L89" s="27"/>
      <c r="M89" s="27"/>
      <c r="N89" s="27"/>
      <c r="O89" s="27">
        <f>M89/473557.1*498304.1</f>
        <v>0</v>
      </c>
      <c r="P89" s="27">
        <f>N89/479869.7*509073.9</f>
        <v>0</v>
      </c>
      <c r="Q89" s="27">
        <f>O89/473557.1*498304.1</f>
        <v>0</v>
      </c>
      <c r="R89" s="27">
        <f>P89/479869.7*509073.9</f>
        <v>0</v>
      </c>
      <c r="S89" s="27">
        <f>Q89/473557.1*498304.1</f>
        <v>0</v>
      </c>
    </row>
    <row r="90" spans="1:19" ht="0.75" customHeight="1" thickBot="1">
      <c r="A90" s="29"/>
      <c r="B90" s="30" t="s">
        <v>101</v>
      </c>
      <c r="C90" s="31" t="s">
        <v>12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1:19">
      <c r="A91" s="51">
        <v>15</v>
      </c>
      <c r="B91" s="52" t="s">
        <v>105</v>
      </c>
      <c r="C91" s="53" t="s">
        <v>98</v>
      </c>
      <c r="D91" s="73" t="s">
        <v>106</v>
      </c>
      <c r="E91" s="73" t="s">
        <v>106</v>
      </c>
      <c r="F91" s="73" t="s">
        <v>106</v>
      </c>
      <c r="G91" s="73" t="s">
        <v>106</v>
      </c>
      <c r="H91" s="73" t="s">
        <v>106</v>
      </c>
      <c r="I91" s="73" t="s">
        <v>106</v>
      </c>
      <c r="J91" s="73" t="s">
        <v>106</v>
      </c>
      <c r="K91" s="73" t="s">
        <v>106</v>
      </c>
      <c r="L91" s="73" t="s">
        <v>106</v>
      </c>
      <c r="M91" s="73" t="s">
        <v>106</v>
      </c>
      <c r="N91" s="73" t="s">
        <v>106</v>
      </c>
      <c r="O91" s="73" t="s">
        <v>106</v>
      </c>
      <c r="P91" s="73" t="s">
        <v>106</v>
      </c>
      <c r="Q91" s="73" t="s">
        <v>106</v>
      </c>
      <c r="R91" s="73" t="s">
        <v>106</v>
      </c>
      <c r="S91" s="73" t="s">
        <v>106</v>
      </c>
    </row>
    <row r="92" spans="1:19" s="63" customFormat="1">
      <c r="A92" s="24">
        <v>16</v>
      </c>
      <c r="B92" s="25" t="s">
        <v>107</v>
      </c>
      <c r="C92" s="26" t="s">
        <v>98</v>
      </c>
      <c r="D92" s="60">
        <v>128006</v>
      </c>
      <c r="E92" s="60">
        <v>138114</v>
      </c>
      <c r="F92" s="60">
        <v>138354</v>
      </c>
      <c r="G92" s="60">
        <v>145904.01999999999</v>
      </c>
      <c r="H92" s="60">
        <f>'[3]исполнение на 01.01.2018г.'!$BE$74/1000</f>
        <v>152712.59789125048</v>
      </c>
      <c r="I92" s="60"/>
      <c r="J92" s="60">
        <f>'[3]исполнение на 01.01.2018г.'!$BF$74/1000</f>
        <v>161431.76678037553</v>
      </c>
      <c r="K92" s="60"/>
      <c r="L92" s="60">
        <f>'[4]Объем доходов на 2019-2021год'!$H$8/1000</f>
        <v>169490.07426665322</v>
      </c>
      <c r="M92" s="60"/>
      <c r="N92" s="60">
        <f>'[4]Объем доходов на 2019-2021год'!$I$8/1000</f>
        <v>177951.29797998589</v>
      </c>
      <c r="O92" s="60"/>
      <c r="P92" s="60">
        <f>'[4]Объем доходов на 2019-2021год'!$J$8/1000</f>
        <v>186835.58287898518</v>
      </c>
      <c r="Q92" s="60"/>
      <c r="R92" s="60">
        <f>'[4]Объем доходов на 2019-2021год'!$J$8/1000</f>
        <v>186835.58287898518</v>
      </c>
      <c r="S92" s="60"/>
    </row>
    <row r="93" spans="1:19" s="63" customFormat="1" ht="24">
      <c r="A93" s="24">
        <v>17</v>
      </c>
      <c r="B93" s="25" t="s">
        <v>108</v>
      </c>
      <c r="C93" s="26" t="s">
        <v>98</v>
      </c>
      <c r="D93" s="60">
        <v>267211</v>
      </c>
      <c r="E93" s="60">
        <v>274536</v>
      </c>
      <c r="F93" s="60">
        <v>59225</v>
      </c>
      <c r="G93" s="60">
        <v>57826.04</v>
      </c>
      <c r="H93" s="60">
        <f>'[3]исполнение на 01.01.2018г.'!$BE$115/1000</f>
        <v>0</v>
      </c>
      <c r="I93" s="60"/>
      <c r="J93" s="60">
        <v>0</v>
      </c>
      <c r="K93" s="60"/>
      <c r="L93" s="60">
        <f>'[4]Объем доходов на 2019-2021год'!$H$34/1000</f>
        <v>0</v>
      </c>
      <c r="M93" s="60"/>
      <c r="N93" s="60">
        <f>'[4]Объем доходов на 2019-2021год'!$I$34/1000</f>
        <v>0</v>
      </c>
      <c r="O93" s="60"/>
      <c r="P93" s="60">
        <f>'[4]Объем доходов на 2019-2021год'!$J$34/1000</f>
        <v>0</v>
      </c>
      <c r="Q93" s="60"/>
      <c r="R93" s="60">
        <f>'[4]Объем доходов на 2019-2021год'!$J$34/1000</f>
        <v>0</v>
      </c>
      <c r="S93" s="60"/>
    </row>
    <row r="94" spans="1:19">
      <c r="A94" s="24">
        <v>18</v>
      </c>
      <c r="B94" s="57" t="s">
        <v>109</v>
      </c>
      <c r="C94" s="26" t="s">
        <v>98</v>
      </c>
      <c r="D94" s="74" t="s">
        <v>106</v>
      </c>
      <c r="E94" s="74" t="s">
        <v>106</v>
      </c>
      <c r="F94" s="74" t="s">
        <v>106</v>
      </c>
      <c r="G94" s="74" t="s">
        <v>106</v>
      </c>
      <c r="H94" s="74" t="s">
        <v>106</v>
      </c>
      <c r="I94" s="74" t="s">
        <v>106</v>
      </c>
      <c r="J94" s="74" t="s">
        <v>106</v>
      </c>
      <c r="K94" s="74" t="s">
        <v>106</v>
      </c>
      <c r="L94" s="74" t="s">
        <v>106</v>
      </c>
      <c r="M94" s="74" t="s">
        <v>106</v>
      </c>
      <c r="N94" s="74" t="s">
        <v>106</v>
      </c>
      <c r="O94" s="74" t="s">
        <v>106</v>
      </c>
      <c r="P94" s="74" t="s">
        <v>106</v>
      </c>
      <c r="Q94" s="74" t="s">
        <v>106</v>
      </c>
      <c r="R94" s="74" t="s">
        <v>106</v>
      </c>
      <c r="S94" s="74" t="s">
        <v>106</v>
      </c>
    </row>
    <row r="95" spans="1:19" s="63" customFormat="1">
      <c r="A95" s="24">
        <v>19</v>
      </c>
      <c r="B95" s="57" t="s">
        <v>110</v>
      </c>
      <c r="C95" s="26" t="s">
        <v>98</v>
      </c>
      <c r="D95" s="60">
        <v>421451</v>
      </c>
      <c r="E95" s="60">
        <v>443773</v>
      </c>
      <c r="F95" s="60">
        <v>231786</v>
      </c>
      <c r="G95" s="60">
        <v>235156.9</v>
      </c>
      <c r="H95" s="60">
        <f>'[5]Объем доходов на 2019-2024год'!$F$54/1000</f>
        <v>182360.55785665187</v>
      </c>
      <c r="I95" s="60"/>
      <c r="J95" s="60">
        <f>'[5]Объем доходов на 2019-2024год'!$G$54/1000</f>
        <v>192884.22480502172</v>
      </c>
      <c r="K95" s="60"/>
      <c r="L95" s="60">
        <f>'[5]Объем доходов на 2019-2024год'!$H$54/1000</f>
        <v>201818.5985897728</v>
      </c>
      <c r="M95" s="60"/>
      <c r="N95" s="60">
        <f>'[5]Объем доходов на 2019-2024год'!$I$54/1000</f>
        <v>211199.69106376145</v>
      </c>
      <c r="O95" s="60"/>
      <c r="P95" s="60">
        <f>'[5]Объем доходов на 2019-2024год'!$J$54/1000</f>
        <v>221049.8381614495</v>
      </c>
      <c r="Q95" s="60"/>
      <c r="R95" s="60">
        <f>'[5]Объем доходов на 2019-2024год'!$J$54/1000</f>
        <v>221049.8381614495</v>
      </c>
      <c r="S95" s="60"/>
    </row>
    <row r="96" spans="1:19" s="63" customFormat="1">
      <c r="A96" s="24">
        <v>20</v>
      </c>
      <c r="B96" s="25" t="s">
        <v>111</v>
      </c>
      <c r="C96" s="26" t="s">
        <v>98</v>
      </c>
      <c r="D96" s="60">
        <v>391057</v>
      </c>
      <c r="E96" s="60">
        <v>409025</v>
      </c>
      <c r="F96" s="60">
        <v>273163</v>
      </c>
      <c r="G96" s="60">
        <v>267488.67</v>
      </c>
      <c r="H96" s="60">
        <v>192487.7</v>
      </c>
      <c r="I96" s="60"/>
      <c r="J96" s="60">
        <v>202756.9</v>
      </c>
      <c r="K96" s="60"/>
      <c r="L96" s="60">
        <f>'[6]Объем расходов 2019-2024'!$I$12/1000</f>
        <v>205457.69771571</v>
      </c>
      <c r="M96" s="60"/>
      <c r="N96" s="60">
        <f>'[6]Объем расходов 2019-2024'!$J$12/1000</f>
        <v>213810.52862137216</v>
      </c>
      <c r="O96" s="60"/>
      <c r="P96" s="60">
        <f>'[6]Объем расходов 2019-2024'!$K$12/1000</f>
        <v>222506.66989248912</v>
      </c>
      <c r="Q96" s="60"/>
      <c r="R96" s="60">
        <f>'[6]Объем расходов 2019-2024'!$K$12/1000</f>
        <v>222506.66989248912</v>
      </c>
      <c r="S96" s="60"/>
    </row>
    <row r="97" spans="1:21" s="63" customFormat="1" ht="18.75">
      <c r="A97" s="24">
        <v>21</v>
      </c>
      <c r="B97" s="25" t="s">
        <v>112</v>
      </c>
      <c r="C97" s="26" t="s">
        <v>12</v>
      </c>
      <c r="D97" s="64">
        <f t="shared" ref="D97" si="36">D93/D96*100</f>
        <v>68.33044799095785</v>
      </c>
      <c r="E97" s="64">
        <f>E93/E96*100</f>
        <v>67.119613715543053</v>
      </c>
      <c r="F97" s="64">
        <f t="shared" ref="F97" si="37">F93/F96*100</f>
        <v>21.681194012366241</v>
      </c>
      <c r="G97" s="64">
        <f t="shared" ref="G97:J97" si="38">G93/G96*100</f>
        <v>21.618126853746741</v>
      </c>
      <c r="H97" s="64">
        <f t="shared" si="38"/>
        <v>0</v>
      </c>
      <c r="I97" s="80" t="e">
        <f t="shared" si="38"/>
        <v>#DIV/0!</v>
      </c>
      <c r="J97" s="64">
        <f t="shared" si="38"/>
        <v>0</v>
      </c>
      <c r="K97" s="80" t="e">
        <f>K93/K96*100</f>
        <v>#DIV/0!</v>
      </c>
      <c r="L97" s="64">
        <f t="shared" ref="L97" si="39">L93/L96*100</f>
        <v>0</v>
      </c>
      <c r="M97" s="80" t="e">
        <f>M93/M96*100</f>
        <v>#DIV/0!</v>
      </c>
      <c r="N97" s="64">
        <f t="shared" ref="N97" si="40">N93/N96*100</f>
        <v>0</v>
      </c>
      <c r="O97" s="80" t="e">
        <f>O93/O96*100</f>
        <v>#DIV/0!</v>
      </c>
      <c r="P97" s="64">
        <f t="shared" ref="P97:R97" si="41">P93/P96*100</f>
        <v>0</v>
      </c>
      <c r="Q97" s="80" t="e">
        <f>Q93/Q96*100</f>
        <v>#DIV/0!</v>
      </c>
      <c r="R97" s="64">
        <f t="shared" si="41"/>
        <v>0</v>
      </c>
      <c r="S97" s="80" t="e">
        <f>S93/S96*100</f>
        <v>#DIV/0!</v>
      </c>
      <c r="T97" s="4"/>
      <c r="U97" s="4"/>
    </row>
    <row r="98" spans="1:21" s="63" customFormat="1" ht="13.5" thickBot="1">
      <c r="A98" s="69">
        <v>22</v>
      </c>
      <c r="B98" s="70" t="s">
        <v>113</v>
      </c>
      <c r="C98" s="71" t="s">
        <v>98</v>
      </c>
      <c r="D98" s="72">
        <v>7636900</v>
      </c>
      <c r="E98" s="72">
        <v>15132320</v>
      </c>
      <c r="F98" s="72">
        <v>30981</v>
      </c>
      <c r="G98" s="72">
        <v>30981</v>
      </c>
      <c r="H98" s="72">
        <f>G98*1.02</f>
        <v>31600.62</v>
      </c>
      <c r="I98" s="72"/>
      <c r="J98" s="72">
        <f>H98*1.02</f>
        <v>32232.632399999999</v>
      </c>
      <c r="K98" s="72"/>
      <c r="L98" s="72">
        <f>J98*1.02</f>
        <v>32877.285047999998</v>
      </c>
      <c r="M98" s="72"/>
      <c r="N98" s="72">
        <f>L98*1.02</f>
        <v>33534.830748959997</v>
      </c>
      <c r="O98" s="72"/>
      <c r="P98" s="72">
        <f>N98*1.02</f>
        <v>34205.527363939196</v>
      </c>
      <c r="Q98" s="72"/>
      <c r="R98" s="72">
        <f>P98*1.02</f>
        <v>34889.637911217978</v>
      </c>
      <c r="S98" s="72"/>
    </row>
    <row r="100" spans="1:21">
      <c r="D100" s="58"/>
      <c r="E100" s="58"/>
      <c r="F100" s="58"/>
      <c r="G100" s="58"/>
      <c r="H100" s="58"/>
      <c r="I100" s="58"/>
      <c r="J100" s="58"/>
      <c r="K100" s="58"/>
    </row>
  </sheetData>
  <mergeCells count="11">
    <mergeCell ref="A9:A10"/>
    <mergeCell ref="B9:B10"/>
    <mergeCell ref="C9:C10"/>
    <mergeCell ref="H9:I9"/>
    <mergeCell ref="R9:S9"/>
    <mergeCell ref="L9:M9"/>
    <mergeCell ref="N9:O9"/>
    <mergeCell ref="P9:Q9"/>
    <mergeCell ref="B7:Q7"/>
    <mergeCell ref="J8:K8"/>
    <mergeCell ref="J9:K9"/>
  </mergeCells>
  <pageMargins left="7.874015748031496E-2" right="0.19685039370078741" top="0.11811023622047245" bottom="0.15748031496062992" header="0.11811023622047245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new</cp:lastModifiedBy>
  <cp:lastPrinted>2019-09-26T23:52:56Z</cp:lastPrinted>
  <dcterms:created xsi:type="dcterms:W3CDTF">2016-09-16T01:03:53Z</dcterms:created>
  <dcterms:modified xsi:type="dcterms:W3CDTF">2019-09-30T00:59:41Z</dcterms:modified>
</cp:coreProperties>
</file>