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507" firstSheet="2" activeTab="4"/>
  </bookViews>
  <sheets>
    <sheet name="Бюджет 2007" sheetId="1" r:id="rId1"/>
    <sheet name="ИСПОЛНЕНИЕ" sheetId="2" r:id="rId2"/>
    <sheet name="ИСПОЛНЕНИЕ 1 КВ." sheetId="3" r:id="rId3"/>
    <sheet name="ИСПОЛНЕНИЕ 2 КВ. " sheetId="4" r:id="rId4"/>
    <sheet name="ИСПОЛНЕНИЕ 2 КВ.  (2)" sheetId="5" r:id="rId5"/>
  </sheets>
  <definedNames>
    <definedName name="_xlnm.Print_Titles" localSheetId="0">'Бюджет 2007'!$A:$E,'Бюджет 2007'!$7:$8</definedName>
    <definedName name="_xlnm.Print_Titles" localSheetId="1">'ИСПОЛНЕНИЕ'!$A:$E,'ИСПОЛНЕНИЕ'!$8:$9</definedName>
    <definedName name="_xlnm.Print_Titles" localSheetId="2">'ИСПОЛНЕНИЕ 1 КВ.'!$A:$E,'ИСПОЛНЕНИЕ 1 КВ.'!$8:$9</definedName>
    <definedName name="_xlnm.Print_Titles" localSheetId="3">'ИСПОЛНЕНИЕ 2 КВ. '!$A:$E,'ИСПОЛНЕНИЕ 2 КВ. '!$8:$9</definedName>
    <definedName name="_xlnm.Print_Titles" localSheetId="4">'ИСПОЛНЕНИЕ 2 КВ.  (2)'!$A:$E,'ИСПОЛНЕНИЕ 2 КВ.  (2)'!$8:$9</definedName>
    <definedName name="_xlnm.Print_Area" localSheetId="0">'Бюджет 2007'!$A$1:$K$792</definedName>
    <definedName name="_xlnm.Print_Area" localSheetId="1">'ИСПОЛНЕНИЕ'!$A$1:$K$811</definedName>
    <definedName name="_xlnm.Print_Area" localSheetId="2">'ИСПОЛНЕНИЕ 1 КВ.'!$A$1:$J$812</definedName>
    <definedName name="_xlnm.Print_Area" localSheetId="3">'ИСПОЛНЕНИЕ 2 КВ. '!$A$1:$K$821</definedName>
    <definedName name="_xlnm.Print_Area" localSheetId="4">'ИСПОЛНЕНИЕ 2 КВ.  (2)'!$A$1:$J$821</definedName>
  </definedNames>
  <calcPr fullCalcOnLoad="1"/>
</workbook>
</file>

<file path=xl/sharedStrings.xml><?xml version="1.0" encoding="utf-8"?>
<sst xmlns="http://schemas.openxmlformats.org/spreadsheetml/2006/main" count="12668" uniqueCount="456">
  <si>
    <t>Статья расхода, код</t>
  </si>
  <si>
    <t>Наименование разделов, подразделов</t>
  </si>
  <si>
    <t>000</t>
  </si>
  <si>
    <t>ОБЩЕГОСУДАРСТВЕННЫЕ ВОПРОСЫ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</si>
  <si>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</si>
  <si>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</si>
  <si>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</si>
  <si>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</si>
  <si>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</si>
  <si>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</si>
  <si>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Командировки и служебные разъезды (суточные) 110400</t>
  </si>
  <si>
    <t>Оплата  льгот по коммунальным услугам 110760</t>
  </si>
  <si>
    <t>Прочие трансферты населению (проезд в отпуск) 130330</t>
  </si>
  <si>
    <t>Начисления на оплату труда</t>
  </si>
  <si>
    <t>213</t>
  </si>
  <si>
    <t>Приобретение услуг</t>
  </si>
  <si>
    <t>220</t>
  </si>
  <si>
    <t>Услуги связи 110600</t>
  </si>
  <si>
    <t>221</t>
  </si>
  <si>
    <t>222</t>
  </si>
  <si>
    <t>Командировки и служебные разъезды (оплата транспортных расходов) 110400</t>
  </si>
  <si>
    <t>Транспортные услуги</t>
  </si>
  <si>
    <t>Транспортные услуги (за исключением расходов на обязательное страхование гражд.ответ.влад.трансп.средств) 110520</t>
  </si>
  <si>
    <t>Коммунальные услуги</t>
  </si>
  <si>
    <t>223</t>
  </si>
  <si>
    <t>Оплата отопления и технологических нужд 110721</t>
  </si>
  <si>
    <t>Оплата потребления электрической энергии 110730</t>
  </si>
  <si>
    <t>Оплата водоснабжения помещений 110740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</si>
  <si>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</si>
  <si>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</si>
  <si>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</si>
  <si>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</si>
  <si>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</si>
  <si>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Прочие коммунальные услуги 110770</t>
  </si>
  <si>
    <t>Оплата текущего ремонта оборудования и инвентаря 111020</t>
  </si>
  <si>
    <t>Оплата текущего ремонта зданий и сооружений 111030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</si>
  <si>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</si>
  <si>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</si>
  <si>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</si>
  <si>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</si>
  <si>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</si>
  <si>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Прочие текущие расходы (в части расходов не отнесенных на остальные категории) 111040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</si>
  <si>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</si>
  <si>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</si>
  <si>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</si>
  <si>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</si>
  <si>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</si>
  <si>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</si>
  <si>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</si>
  <si>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</si>
  <si>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</si>
  <si>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</si>
  <si>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</si>
  <si>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</si>
  <si>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Прочие расходные материалы и предметы снабжения (в части предметов со сроком полезного использования более 12 месяцев) 110350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</si>
  <si>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</si>
  <si>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</si>
  <si>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</si>
  <si>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</si>
  <si>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Продукты питания 110330</t>
  </si>
  <si>
    <t>Оплата горюче-смазочных материалов 110340</t>
  </si>
  <si>
    <t>Прочие расходные материалы и предметы снабжения (в части расходных материалов) 110350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</si>
  <si>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</si>
  <si>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</si>
  <si>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</si>
  <si>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</si>
  <si>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</si>
  <si>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</si>
  <si>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</si>
  <si>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327</t>
  </si>
  <si>
    <t>ОБЩЕЕ ОБРАЗОВАНИЕ</t>
  </si>
  <si>
    <t>Школы-интернаты</t>
  </si>
  <si>
    <t>Учреждения по внешкольной работе с детьми</t>
  </si>
  <si>
    <t>ДМШ</t>
  </si>
  <si>
    <t>Другие вопросы в области образования</t>
  </si>
  <si>
    <t>ИТОГО ПО ОБРАЗОВАНИЮ</t>
  </si>
  <si>
    <t>КУЛЬТУРА И СРЕДСТВА МАССОВОЙ ИНФОРМАЦИИ</t>
  </si>
  <si>
    <t>Дворцы и дома культуры, другие учреждения культуры</t>
  </si>
  <si>
    <t>Библиотеки</t>
  </si>
  <si>
    <t>453</t>
  </si>
  <si>
    <t>СПОРТ И ФИЗИЧЕСКАЯ КУЛЬТУРА</t>
  </si>
  <si>
    <t>455</t>
  </si>
  <si>
    <t>001 00 00</t>
  </si>
  <si>
    <t>421 00 00</t>
  </si>
  <si>
    <t xml:space="preserve">351 00 00 </t>
  </si>
  <si>
    <t>412</t>
  </si>
  <si>
    <t>Функционирование местных администраций</t>
  </si>
  <si>
    <t>Обслуживание государственного и муниципального долга</t>
  </si>
  <si>
    <t>000 00 00</t>
  </si>
  <si>
    <t>расходы на обслуживание муниципального долга</t>
  </si>
  <si>
    <t>заем АК "АЛРОСА"</t>
  </si>
  <si>
    <t>Резервные фонды</t>
  </si>
  <si>
    <t>Резервные фонды органов местного самоуправления</t>
  </si>
  <si>
    <t>070 00 00</t>
  </si>
  <si>
    <t>184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</si>
  <si>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</si>
  <si>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</si>
  <si>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</si>
  <si>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</si>
  <si>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</si>
  <si>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</si>
  <si>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</si>
  <si>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</si>
  <si>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</si>
  <si>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</si>
  <si>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</si>
  <si>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</si>
  <si>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</si>
  <si>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</si>
  <si>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</si>
  <si>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</si>
  <si>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</si>
  <si>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</si>
  <si>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</si>
  <si>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</si>
  <si>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Непрограммные инвестиции в основные фонды</t>
  </si>
  <si>
    <t>102 00 00</t>
  </si>
  <si>
    <t>Мероприятия по землеустройству и землепользованию</t>
  </si>
  <si>
    <t>340 00 00</t>
  </si>
  <si>
    <t>406</t>
  </si>
  <si>
    <t>Содержание землеустроителей</t>
  </si>
  <si>
    <t>Поддержка жилищного хозяйства</t>
  </si>
  <si>
    <t>350 00 00</t>
  </si>
  <si>
    <t>197</t>
  </si>
  <si>
    <t>Учебно-методические кабинеты, централизованные бухгалтерии, группы хозяйственного обслуживания, логопедические пункты</t>
  </si>
  <si>
    <t>452 00 00</t>
  </si>
  <si>
    <t>440 00 00</t>
  </si>
  <si>
    <t>450 00 00</t>
  </si>
  <si>
    <t>512 00 00</t>
  </si>
  <si>
    <t>компенсация школьного питания</t>
  </si>
  <si>
    <t>Книгоиздательская продукция</t>
  </si>
  <si>
    <t>Школы начальные, неполные средние и средние (вечерние школы)</t>
  </si>
  <si>
    <t>Хоккейный корт</t>
  </si>
  <si>
    <t>Спортивный клуб "Гренадер"</t>
  </si>
  <si>
    <t>Горнолыжный подъемник</t>
  </si>
  <si>
    <t>Дворец Спорта</t>
  </si>
  <si>
    <t>Процентные платежи по муниципальному долгу</t>
  </si>
  <si>
    <t>065 00 00</t>
  </si>
  <si>
    <t>152</t>
  </si>
  <si>
    <t>Авиаклуб</t>
  </si>
  <si>
    <t>423 00 00</t>
  </si>
  <si>
    <t>422 00 00</t>
  </si>
  <si>
    <t>420 00 00</t>
  </si>
  <si>
    <t>442 00 00</t>
  </si>
  <si>
    <t>0100</t>
  </si>
  <si>
    <t>0103</t>
  </si>
  <si>
    <t>0104</t>
  </si>
  <si>
    <t>0112</t>
  </si>
  <si>
    <t>0113</t>
  </si>
  <si>
    <t>0115</t>
  </si>
  <si>
    <t>0309</t>
  </si>
  <si>
    <t>0400</t>
  </si>
  <si>
    <t>0411</t>
  </si>
  <si>
    <t>0500</t>
  </si>
  <si>
    <t>0501</t>
  </si>
  <si>
    <t>0502</t>
  </si>
  <si>
    <t>0700</t>
  </si>
  <si>
    <t>0701</t>
  </si>
  <si>
    <t>0702</t>
  </si>
  <si>
    <t>0709</t>
  </si>
  <si>
    <t>0800</t>
  </si>
  <si>
    <t>0801</t>
  </si>
  <si>
    <t>0803</t>
  </si>
  <si>
    <t>0902</t>
  </si>
  <si>
    <t>КФСР</t>
  </si>
  <si>
    <t>КЦСР</t>
  </si>
  <si>
    <t>КВР</t>
  </si>
  <si>
    <t>КЭС</t>
  </si>
  <si>
    <t>Доп. ЭК</t>
  </si>
  <si>
    <t>Функционирование высшего должностного лица субъекта РФ и органа местного самоуправления</t>
  </si>
  <si>
    <t>0102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</si>
  <si>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</si>
  <si>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</si>
  <si>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</si>
  <si>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</si>
  <si>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</si>
  <si>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Комитет имущественных отношений</t>
  </si>
  <si>
    <t>Глава законодательной (представительной) власти</t>
  </si>
  <si>
    <t>026</t>
  </si>
  <si>
    <t>Члены законодательной (представительной)власти</t>
  </si>
  <si>
    <t>027</t>
  </si>
  <si>
    <t>Функционирование законодательных (представительных) органов государственной власти и местного самоуправления (Районное Собрание)</t>
  </si>
  <si>
    <t xml:space="preserve">001 00 00 </t>
  </si>
  <si>
    <t>106</t>
  </si>
  <si>
    <t>101</t>
  </si>
  <si>
    <t>105</t>
  </si>
  <si>
    <t>107</t>
  </si>
  <si>
    <t>109</t>
  </si>
  <si>
    <t>110</t>
  </si>
  <si>
    <t>111</t>
  </si>
  <si>
    <t>112</t>
  </si>
  <si>
    <t>113</t>
  </si>
  <si>
    <t>115</t>
  </si>
  <si>
    <t>119</t>
  </si>
  <si>
    <t>121</t>
  </si>
  <si>
    <t>122</t>
  </si>
  <si>
    <t>123</t>
  </si>
  <si>
    <t>124</t>
  </si>
  <si>
    <t>126</t>
  </si>
  <si>
    <t>102</t>
  </si>
  <si>
    <t>103</t>
  </si>
  <si>
    <t xml:space="preserve">340 00 00 </t>
  </si>
  <si>
    <t>231</t>
  </si>
  <si>
    <t>Обслуживание внутренних долговых обязательств</t>
  </si>
  <si>
    <t>Финансовая поддержка на возвратной основе</t>
  </si>
  <si>
    <t>092 00 00</t>
  </si>
  <si>
    <t>520</t>
  </si>
  <si>
    <t xml:space="preserve">0702 </t>
  </si>
  <si>
    <t xml:space="preserve">0709 </t>
  </si>
  <si>
    <t>116</t>
  </si>
  <si>
    <t>117</t>
  </si>
  <si>
    <t>241</t>
  </si>
  <si>
    <t>240</t>
  </si>
  <si>
    <t>Безвозмездные и безвозвратные перечисления организациям</t>
  </si>
  <si>
    <t>Субсидии отдельным категориям граждан на оплату ЖКУ</t>
  </si>
  <si>
    <t>410</t>
  </si>
  <si>
    <t xml:space="preserve">Безвозмездные и безвозвратные перечисления государственным организациям </t>
  </si>
  <si>
    <t xml:space="preserve">Субсидии </t>
  </si>
  <si>
    <t>Мероприятия в области жилищного хозяйства по строительству, реконструкции жилых домов</t>
  </si>
  <si>
    <t>Поддержка коммунального хозяйства</t>
  </si>
  <si>
    <t>351 00 00</t>
  </si>
  <si>
    <t>113/1</t>
  </si>
  <si>
    <t>115/1</t>
  </si>
  <si>
    <t>121/1</t>
  </si>
  <si>
    <t>112/1</t>
  </si>
  <si>
    <t>в т.ч. передаваемые полномочия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</si>
  <si>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</si>
  <si>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</si>
  <si>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Другие общегосударственные вопросы</t>
  </si>
  <si>
    <t>строительство и содержание муниципальных автодорог</t>
  </si>
  <si>
    <t>ВСЕГО РАСХОДОВ:</t>
  </si>
  <si>
    <t>Функционирование законодательных органов государственной власти (Городской Совет)</t>
  </si>
  <si>
    <t>0010000</t>
  </si>
  <si>
    <t>прочие выплаты</t>
  </si>
  <si>
    <t xml:space="preserve">Глава исполнительной власти </t>
  </si>
  <si>
    <t>СОЦИАЛЬНАЯ ПОЛИТИКА</t>
  </si>
  <si>
    <t>1003</t>
  </si>
  <si>
    <t>Расходы по возмещению выезда из РКС</t>
  </si>
  <si>
    <t>505 00 00</t>
  </si>
  <si>
    <t>483</t>
  </si>
  <si>
    <t>1100</t>
  </si>
  <si>
    <t>Телевидение и радиовещание</t>
  </si>
  <si>
    <t>Проведение выборов в представительные органы муниципального образования</t>
  </si>
  <si>
    <t>0107</t>
  </si>
  <si>
    <t>020 00 00</t>
  </si>
  <si>
    <t>Проведение выборов главы муниципального образования</t>
  </si>
  <si>
    <t>Бюджет на 2007 год</t>
  </si>
  <si>
    <t>Обеспечение проведения выборов и референдумов</t>
  </si>
  <si>
    <t>Обеспечение деятельности подведомственных учреждений</t>
  </si>
  <si>
    <t>Мероприятия направляемые на повышение эффективности управления муниц. имуществом</t>
  </si>
  <si>
    <t>НАЦИОНАЛЬНАЯ БЕЗОПАСНОСТЬ И ПРАВООХРАНИТЕЛЬНАЯ ДЕЯТЕЛЬНОСТЬ</t>
  </si>
  <si>
    <t>Субвенция на осуществление федеральных полномочий по государственной регистрации актов гражданского состояния</t>
  </si>
  <si>
    <t>0300</t>
  </si>
  <si>
    <t>0304</t>
  </si>
  <si>
    <t>419 00 00</t>
  </si>
  <si>
    <t>608</t>
  </si>
  <si>
    <t>по разделам, подразделам, целевым статьям расходов, видам расходов функциональной классификации</t>
  </si>
  <si>
    <t xml:space="preserve">                                                                       расходов Российской Федерации</t>
  </si>
  <si>
    <t xml:space="preserve">           Распределение расходов бюджета МО "Город Удачный" Мирнинского района РС(Я) на 2007 год</t>
  </si>
  <si>
    <t>01 07</t>
  </si>
  <si>
    <t>Мероприятия по предупреждению и ликвидации последствий чрезвычайных ситуаций и стихийных бедствий</t>
  </si>
  <si>
    <t>Мероприятия по благоустройству городских и сельских поселений, в т. ч.</t>
  </si>
  <si>
    <t>целевая программа "Благоустройство города"</t>
  </si>
  <si>
    <t>субвенция на возмещение выпадающей суммы до норматива по благоустройству</t>
  </si>
  <si>
    <t>Другие вопросы в области коммунального хозяйства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</si>
  <si>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</si>
  <si>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</si>
  <si>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</si>
  <si>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447</t>
  </si>
  <si>
    <t>Проведение мероприятий для детей и молодежи, в т.ч.</t>
  </si>
  <si>
    <t>целевая программа "Премия главы для лучших учеников города"</t>
  </si>
  <si>
    <t>целевая программа "Реализация основных направлений в молодежной политике"</t>
  </si>
  <si>
    <t>Мероприятия в сфере культуры</t>
  </si>
  <si>
    <t>1000</t>
  </si>
  <si>
    <t xml:space="preserve">Социальное обеспечение населения </t>
  </si>
  <si>
    <t>Обеспечение равной доступности услуг общественного транспорта на территории г. Удачный для отдельных категорий граждан</t>
  </si>
  <si>
    <t xml:space="preserve">505 00 00 </t>
  </si>
  <si>
    <t>616</t>
  </si>
  <si>
    <t xml:space="preserve">Социальное обеспечение  </t>
  </si>
  <si>
    <t>Мероприятия в области социальной политики</t>
  </si>
  <si>
    <t>514 00 00</t>
  </si>
  <si>
    <t>482</t>
  </si>
  <si>
    <t>целевая программа "Адресная социальная помощь"</t>
  </si>
  <si>
    <t>Мероприятия по соцзащите, в т.ч.</t>
  </si>
  <si>
    <t>Борьба с беспризорностью, опека и попечительство</t>
  </si>
  <si>
    <t>1004</t>
  </si>
  <si>
    <t xml:space="preserve">000 00 00 </t>
  </si>
  <si>
    <t>511 00 00</t>
  </si>
  <si>
    <t>Мероприятия по борьбе с беспризорностью, по опеке и попечительству, в т.ч.</t>
  </si>
  <si>
    <t>Целева программа "Социальные меры реабилитации детей сирот и детей оставшихся без попечения родителей"</t>
  </si>
  <si>
    <t>МЕЖБЮДЖЕТНЫЕ ТРАНСФЕРТЫ</t>
  </si>
  <si>
    <t>Финансовая помощь бюджетам других уровней</t>
  </si>
  <si>
    <t>1101</t>
  </si>
  <si>
    <t>Дотации и субвенции</t>
  </si>
  <si>
    <t>517 00 00</t>
  </si>
  <si>
    <t>524</t>
  </si>
  <si>
    <t>Субвенции бюджету субъекта РФ из местных бюджетов в связи с превышением уровня бюджетной обеспеченности</t>
  </si>
  <si>
    <t>НАЦИОНАЛЬНАЯ ОБОРОНА</t>
  </si>
  <si>
    <t>0200</t>
  </si>
  <si>
    <t>субвенция на осуществление полномочий по воинскому учету</t>
  </si>
  <si>
    <t>0202</t>
  </si>
  <si>
    <t>519 00 00</t>
  </si>
  <si>
    <t>609</t>
  </si>
  <si>
    <t>Прочие текущие расходы (в части расходов не отнесенных на остальные категории) 111040, в т. ч.</t>
  </si>
  <si>
    <t>целевая программа "Обеспечение мер пожарной безопасности"</t>
  </si>
  <si>
    <t>0310</t>
  </si>
  <si>
    <t>Обеспечение противопожарной безопасности</t>
  </si>
  <si>
    <t>целевая программа "Комплексные меры по протводействию злоупотребления наркотиками"</t>
  </si>
  <si>
    <t>Целевая программа "Анти ВИЧ-СПИД"</t>
  </si>
  <si>
    <t>Приложение № 2</t>
  </si>
  <si>
    <t>к Решению сессии ГС</t>
  </si>
  <si>
    <t>от 25.12.2006 г. №___</t>
  </si>
  <si>
    <t>целевая программа "Профилактика безнадзорности и правонарушений среди несовершеннолетних"</t>
  </si>
  <si>
    <t>0707</t>
  </si>
  <si>
    <t>1 квартал</t>
  </si>
  <si>
    <t>2 квартал</t>
  </si>
  <si>
    <t>3 квартал</t>
  </si>
  <si>
    <t>4 квартал</t>
  </si>
  <si>
    <t>подписка периодических изданий</t>
  </si>
  <si>
    <t>техническое обслуживание средств ОПС</t>
  </si>
  <si>
    <t>сопровождение МОЛ</t>
  </si>
  <si>
    <t>охрана объектов (тревожная сигнализация)</t>
  </si>
  <si>
    <t>расчетно-кассовое обслуживание</t>
  </si>
  <si>
    <t>повышение квалификации</t>
  </si>
  <si>
    <t>расходы по автоматизации предприятия</t>
  </si>
  <si>
    <t>обновление программы Консультант плюс</t>
  </si>
  <si>
    <t>хранение и переработка ГСМ</t>
  </si>
  <si>
    <t>противопожарные мероприятия</t>
  </si>
  <si>
    <t>техническое обслуживание ККТ</t>
  </si>
  <si>
    <t>информационное обслуживание базы АСДГ</t>
  </si>
  <si>
    <t>прочие расходы</t>
  </si>
  <si>
    <t>Поддержка жилищного хозяйства (дотации на покрытие убытков ЖКХ из районного фонда компенсаций</t>
  </si>
  <si>
    <t>На капитальный ремонт жилфонда</t>
  </si>
  <si>
    <t>Глава администрации</t>
  </si>
  <si>
    <t>МО "Город Удачный"</t>
  </si>
  <si>
    <t>Ю. Ф. Бескровный</t>
  </si>
  <si>
    <t xml:space="preserve">Главный бухгалтер                                      </t>
  </si>
  <si>
    <t>О. Ю. Афанасьева</t>
  </si>
  <si>
    <t>"___" января  2007г.</t>
  </si>
  <si>
    <t>исп. Щеглова В. А.</t>
  </si>
  <si>
    <t>тел. 5-33-54</t>
  </si>
  <si>
    <t xml:space="preserve">Услуги связи </t>
  </si>
  <si>
    <t>042</t>
  </si>
  <si>
    <t xml:space="preserve">Оплата  льгот по коммунальным услугам </t>
  </si>
  <si>
    <t xml:space="preserve">Командировки и служебные разъезды (оплата транспортных расходов) </t>
  </si>
  <si>
    <t xml:space="preserve">Оплата отопления и технологических нужд </t>
  </si>
  <si>
    <t xml:space="preserve">Оплата потребления электрической энергии </t>
  </si>
  <si>
    <t xml:space="preserve">Оплата водоснабжения помещений </t>
  </si>
  <si>
    <t xml:space="preserve">Оплата содержания помещений </t>
  </si>
  <si>
    <t xml:space="preserve">Прочие коммунальные услуги </t>
  </si>
  <si>
    <t xml:space="preserve">Оплата текущего ремонта оборудования и инвентаря </t>
  </si>
  <si>
    <t xml:space="preserve">Оплата текущего ремонта зданий и сооружений </t>
  </si>
  <si>
    <t xml:space="preserve">Командировки и служебные разъезды (оплата проживания на время нахождения в служебной командировке) </t>
  </si>
  <si>
    <t xml:space="preserve">Расходы на обязательное страхование гражданской ответственности владельцев транспортных средств </t>
  </si>
  <si>
    <t xml:space="preserve">Прочие текущие расходы (в части расходов не отнесенных на остальные категории) </t>
  </si>
  <si>
    <t xml:space="preserve">Прочие трансферты населению </t>
  </si>
  <si>
    <t xml:space="preserve">Мягкий инвентарь и обмундирование </t>
  </si>
  <si>
    <t xml:space="preserve">Медикаменты, перевязочные средства и прочие лечебные расходы </t>
  </si>
  <si>
    <t xml:space="preserve">Продукты питания </t>
  </si>
  <si>
    <t xml:space="preserve">Оплата горюче-смазочных материалов </t>
  </si>
  <si>
    <t xml:space="preserve">Командировки и служебные разъезды (суточные) </t>
  </si>
  <si>
    <t xml:space="preserve">Прочие трансферты населению (проезд в отпуск) </t>
  </si>
  <si>
    <t xml:space="preserve">Транспортные услуги (за исключением расходов на обязательное страхование гражд.ответ.влад.трансп.средств) </t>
  </si>
  <si>
    <t xml:space="preserve">Капитальный ремонт объектов непроизводственного назначения, за исключением капитального ремонта жилого фонда </t>
  </si>
  <si>
    <t>Прочие текущие расходы (в части расходов не отнесенных на остальные категории)  в т.ч.</t>
  </si>
  <si>
    <t xml:space="preserve">Приобретение и модернизация непроизводственного оборудования и предметов длительного пользования для государственных и муниципальных учреждений </t>
  </si>
  <si>
    <t>Продукты питания</t>
  </si>
  <si>
    <t xml:space="preserve">Прочие расходные материалы и предметы снабжения (в части расходных материалов) </t>
  </si>
  <si>
    <t>453 00 00</t>
  </si>
  <si>
    <t>93000000</t>
  </si>
  <si>
    <t>93000101</t>
  </si>
  <si>
    <t>93000104</t>
  </si>
  <si>
    <t>93000106</t>
  </si>
  <si>
    <t>93000107</t>
  </si>
  <si>
    <t>93000105</t>
  </si>
  <si>
    <t>93000109</t>
  </si>
  <si>
    <t>93000110</t>
  </si>
  <si>
    <t>93000111</t>
  </si>
  <si>
    <t>93000113</t>
  </si>
  <si>
    <t>930001130</t>
  </si>
  <si>
    <t>93000112</t>
  </si>
  <si>
    <t>930001150</t>
  </si>
  <si>
    <t>93000115</t>
  </si>
  <si>
    <t>930000001</t>
  </si>
  <si>
    <t>93000121</t>
  </si>
  <si>
    <t>93000119</t>
  </si>
  <si>
    <t>93000122</t>
  </si>
  <si>
    <t>93000123</t>
  </si>
  <si>
    <t>93000124</t>
  </si>
  <si>
    <t>93000126</t>
  </si>
  <si>
    <t>93000103</t>
  </si>
  <si>
    <t>9300115</t>
  </si>
  <si>
    <t>Прочие текущие расходы (в части расходов не отнесенных на остальные категории) в т. ч.</t>
  </si>
  <si>
    <t xml:space="preserve">Прочие текущие расходы (в части расходов не отнесенных на остальные категории), в т.ч. </t>
  </si>
  <si>
    <t>930000002</t>
  </si>
  <si>
    <t>400</t>
  </si>
  <si>
    <t>330</t>
  </si>
  <si>
    <t>330101</t>
  </si>
  <si>
    <t>330104</t>
  </si>
  <si>
    <t>330106</t>
  </si>
  <si>
    <t>3301150</t>
  </si>
  <si>
    <t>92051000</t>
  </si>
  <si>
    <t>92051112</t>
  </si>
  <si>
    <t>93000114</t>
  </si>
  <si>
    <t>251</t>
  </si>
  <si>
    <t>к решению Сессии ГС</t>
  </si>
  <si>
    <t>№ 17-5 от 25.12.2006 г.</t>
  </si>
  <si>
    <t>Прочие текущие расходы (в части расходов не отнесенных на остальные категории) , в т. ч.</t>
  </si>
  <si>
    <t>Прочие текущие расходы (в части расходов не отнесенных на остальные категории)</t>
  </si>
  <si>
    <t>Отклонения от квартального плана</t>
  </si>
  <si>
    <t>План                              1 квартал</t>
  </si>
  <si>
    <t>Кассовые расходы</t>
  </si>
  <si>
    <t>Отклонения от годового плана</t>
  </si>
  <si>
    <t>Кассовые расходы за 1 квартал</t>
  </si>
  <si>
    <t>93000118</t>
  </si>
  <si>
    <t>31.03.07г.</t>
  </si>
  <si>
    <t xml:space="preserve"> 31.03.07г.</t>
  </si>
  <si>
    <t>Компенсация выпадающих доходов организациям, предприятим, предоставляющим населению услуги теплоснабжения по тарифамне обеспечивающим возмещение издержек</t>
  </si>
  <si>
    <t>803</t>
  </si>
  <si>
    <t>Компенсация выпадающих доходов организациям, предприятиям, предоставляющим населениюуслуги водоснабжения и водоотведения по тарифам, не обеспечивающим возмещение издержек</t>
  </si>
  <si>
    <t>315 00 00</t>
  </si>
  <si>
    <t>804</t>
  </si>
  <si>
    <t>Прочие мероприятия по благоустройству городских и сельских поселений</t>
  </si>
  <si>
    <t>6000000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</si>
  <si>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</si>
  <si>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</si>
  <si>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</si>
  <si>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807</t>
  </si>
  <si>
    <t xml:space="preserve">Мероприятия по озеленению </t>
  </si>
  <si>
    <t>808</t>
  </si>
  <si>
    <t>795 00 00</t>
  </si>
  <si>
    <t xml:space="preserve">795 00 00 </t>
  </si>
  <si>
    <t>Компенсация выпадающих доходов организациям, предприятим, предоставляющим населению услуги теплоснабжения по тарифамне обеспечивающим возмещение издержек (и мусор)</t>
  </si>
  <si>
    <t>Уточненный план 2007</t>
  </si>
  <si>
    <t xml:space="preserve">План на 1 полугодие </t>
  </si>
  <si>
    <t xml:space="preserve">Фактические расходы </t>
  </si>
  <si>
    <t>Кассовые расходы за 1 полугодие</t>
  </si>
  <si>
    <t>Целевая программа "Здравоохранение"</t>
  </si>
  <si>
    <t>Фининсирование с местного бюджета</t>
  </si>
  <si>
    <t xml:space="preserve">Оплата труда и начисление на оплату  труда </t>
  </si>
  <si>
    <t>начисления на оплату труда</t>
  </si>
  <si>
    <t>заработная плата</t>
  </si>
  <si>
    <t>Приобретение  услуг</t>
  </si>
  <si>
    <t>33106</t>
  </si>
  <si>
    <t>Транспортные услуги(комад.расходы)</t>
  </si>
  <si>
    <t xml:space="preserve">                                          </t>
  </si>
  <si>
    <t>% исполнения (от кассовых)</t>
  </si>
  <si>
    <t>Увеличение задолженности по кредитам</t>
  </si>
  <si>
    <t>92 00 00</t>
  </si>
  <si>
    <t>811</t>
  </si>
  <si>
    <t>в том ч. Аммортизация</t>
  </si>
  <si>
    <t>в т. ч. Аммортиз</t>
  </si>
  <si>
    <t>ИСПОЛНЕНИЕ РАСХОДНОЙ ЧАСТИ БЮДЖЕТА</t>
  </si>
  <si>
    <t>Администрация МО "Город Удачный"</t>
  </si>
  <si>
    <t>Отклонение от полугодового плана</t>
  </si>
  <si>
    <t>ИСПОЛНЕНИЕ РАСХОДНОЙ ЧАСТИ БЮДЖЕТА  за 1 полугодие 2007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</si>
</sst>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  <numFmt numFmtId="166" formatCode="#,##0.0_р_.;\-#,##0.0_р_."/>
    <numFmt numFmtId="167" formatCode="_-* #,##0.0_р_._-;\-* #,##0.0_р_._-;_-* &quot;-&quot;?_р_._-;_-@_-"/>
    <numFmt numFmtId="168" formatCode="_-* #,##0.00_р_._-;\-* #,##0.00_р_._-;_-* &quot;-&quot;?_р_._-;_-@_-"/>
    <numFmt numFmtId="169" formatCode="_-* #,##0_р_._-;\-* #,##0_р_._-;_-* &quot;-&quot;?_р_._-;_-@_-"/>
    <numFmt numFmtId="170" formatCode="#,##0.000"/>
  </numFmts>
  <fonts count="1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sz val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justify" wrapText="1"/>
    </xf>
    <xf numFmtId="49" fontId="2" fillId="0" borderId="1" xfId="0" applyNumberFormat="1" applyFont="1" applyFill="1" applyBorder="1" applyAlignment="1">
      <alignment horizontal="left" vertical="justify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justify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 vertical="justify" wrapText="1"/>
    </xf>
    <xf numFmtId="1" fontId="0" fillId="0" borderId="1" xfId="0" applyNumberFormat="1" applyFont="1" applyBorder="1" applyAlignment="1">
      <alignment vertical="justify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1" fillId="3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4" borderId="0" xfId="0" applyFill="1" applyAlignment="1">
      <alignment/>
    </xf>
    <xf numFmtId="0" fontId="4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7" fontId="1" fillId="0" borderId="1" xfId="20" applyNumberFormat="1" applyFont="1" applyBorder="1" applyAlignment="1">
      <alignment/>
    </xf>
    <xf numFmtId="167" fontId="2" fillId="0" borderId="1" xfId="20" applyNumberFormat="1" applyFont="1" applyBorder="1" applyAlignment="1">
      <alignment/>
    </xf>
    <xf numFmtId="167" fontId="0" fillId="0" borderId="1" xfId="20" applyNumberFormat="1" applyFont="1" applyBorder="1" applyAlignment="1">
      <alignment/>
    </xf>
    <xf numFmtId="167" fontId="4" fillId="0" borderId="1" xfId="20" applyNumberFormat="1" applyFont="1" applyBorder="1" applyAlignment="1">
      <alignment/>
    </xf>
    <xf numFmtId="168" fontId="0" fillId="0" borderId="1" xfId="20" applyNumberFormat="1" applyFont="1" applyBorder="1" applyAlignment="1">
      <alignment/>
    </xf>
    <xf numFmtId="167" fontId="1" fillId="3" borderId="1" xfId="2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3" fontId="0" fillId="0" borderId="1" xfId="20" applyBorder="1" applyAlignment="1">
      <alignment/>
    </xf>
    <xf numFmtId="167" fontId="0" fillId="0" borderId="1" xfId="20" applyNumberFormat="1" applyBorder="1" applyAlignment="1">
      <alignment/>
    </xf>
    <xf numFmtId="43" fontId="1" fillId="0" borderId="1" xfId="20" applyFont="1" applyBorder="1" applyAlignment="1">
      <alignment/>
    </xf>
    <xf numFmtId="1" fontId="1" fillId="4" borderId="1" xfId="0" applyNumberFormat="1" applyFont="1" applyFill="1" applyBorder="1" applyAlignment="1">
      <alignment wrapText="1"/>
    </xf>
    <xf numFmtId="1" fontId="0" fillId="4" borderId="1" xfId="0" applyNumberFormat="1" applyFont="1" applyFill="1" applyBorder="1" applyAlignment="1">
      <alignment wrapText="1"/>
    </xf>
    <xf numFmtId="49" fontId="0" fillId="4" borderId="1" xfId="0" applyNumberFormat="1" applyFill="1" applyBorder="1" applyAlignment="1">
      <alignment horizontal="center"/>
    </xf>
    <xf numFmtId="43" fontId="1" fillId="4" borderId="1" xfId="20" applyFont="1" applyFill="1" applyBorder="1" applyAlignment="1">
      <alignment/>
    </xf>
    <xf numFmtId="43" fontId="0" fillId="4" borderId="1" xfId="20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justify"/>
    </xf>
    <xf numFmtId="164" fontId="4" fillId="0" borderId="1" xfId="0" applyNumberFormat="1" applyFont="1" applyBorder="1" applyAlignment="1">
      <alignment vertical="justify"/>
    </xf>
    <xf numFmtId="1" fontId="0" fillId="0" borderId="1" xfId="0" applyNumberFormat="1" applyFont="1" applyFill="1" applyBorder="1" applyAlignment="1">
      <alignment vertical="justify" wrapText="1"/>
    </xf>
    <xf numFmtId="49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justify" wrapText="1"/>
    </xf>
    <xf numFmtId="164" fontId="0" fillId="0" borderId="1" xfId="0" applyNumberFormat="1" applyFont="1" applyBorder="1" applyAlignment="1">
      <alignment vertical="justify"/>
    </xf>
    <xf numFmtId="49" fontId="2" fillId="0" borderId="1" xfId="0" applyNumberFormat="1" applyFont="1" applyFill="1" applyBorder="1" applyAlignment="1">
      <alignment vertical="justify"/>
    </xf>
    <xf numFmtId="164" fontId="0" fillId="0" borderId="1" xfId="0" applyNumberFormat="1" applyFont="1" applyBorder="1" applyAlignment="1">
      <alignment vertical="justify"/>
    </xf>
    <xf numFmtId="167" fontId="1" fillId="4" borderId="1" xfId="20" applyNumberFormat="1" applyFont="1" applyFill="1" applyBorder="1" applyAlignment="1">
      <alignment/>
    </xf>
    <xf numFmtId="0" fontId="1" fillId="4" borderId="1" xfId="0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7" fontId="1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1" fillId="2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168" fontId="2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164" fontId="7" fillId="3" borderId="0" xfId="0" applyNumberFormat="1" applyFont="1" applyFill="1" applyBorder="1" applyAlignment="1">
      <alignment/>
    </xf>
    <xf numFmtId="168" fontId="1" fillId="4" borderId="1" xfId="20" applyNumberFormat="1" applyFont="1" applyFill="1" applyBorder="1" applyAlignment="1">
      <alignment/>
    </xf>
    <xf numFmtId="168" fontId="1" fillId="3" borderId="1" xfId="20" applyNumberFormat="1" applyFont="1" applyFill="1" applyBorder="1" applyAlignment="1">
      <alignment/>
    </xf>
    <xf numFmtId="168" fontId="1" fillId="0" borderId="1" xfId="20" applyNumberFormat="1" applyFont="1" applyBorder="1" applyAlignment="1">
      <alignment/>
    </xf>
    <xf numFmtId="168" fontId="1" fillId="0" borderId="1" xfId="0" applyNumberFormat="1" applyFont="1" applyFill="1" applyBorder="1" applyAlignment="1">
      <alignment/>
    </xf>
    <xf numFmtId="168" fontId="1" fillId="3" borderId="1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/>
    </xf>
    <xf numFmtId="168" fontId="1" fillId="3" borderId="1" xfId="0" applyNumberFormat="1" applyFon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0" borderId="1" xfId="0" applyNumberForma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3" borderId="1" xfId="0" applyNumberFormat="1" applyFont="1" applyFill="1" applyBorder="1" applyAlignment="1">
      <alignment/>
    </xf>
    <xf numFmtId="168" fontId="0" fillId="4" borderId="1" xfId="0" applyNumberFormat="1" applyFill="1" applyBorder="1" applyAlignment="1">
      <alignment/>
    </xf>
    <xf numFmtId="168" fontId="2" fillId="0" borderId="1" xfId="20" applyNumberFormat="1" applyFont="1" applyBorder="1" applyAlignment="1">
      <alignment/>
    </xf>
    <xf numFmtId="168" fontId="0" fillId="3" borderId="1" xfId="0" applyNumberFormat="1" applyFont="1" applyFill="1" applyBorder="1" applyAlignment="1">
      <alignment/>
    </xf>
    <xf numFmtId="168" fontId="0" fillId="4" borderId="1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168" fontId="0" fillId="0" borderId="1" xfId="20" applyNumberFormat="1" applyBorder="1" applyAlignment="1">
      <alignment/>
    </xf>
    <xf numFmtId="168" fontId="2" fillId="0" borderId="1" xfId="0" applyNumberFormat="1" applyFont="1" applyFill="1" applyBorder="1" applyAlignment="1">
      <alignment/>
    </xf>
    <xf numFmtId="168" fontId="0" fillId="0" borderId="1" xfId="0" applyNumberFormat="1" applyFill="1" applyBorder="1" applyAlignment="1">
      <alignment/>
    </xf>
    <xf numFmtId="168" fontId="1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8" fontId="2" fillId="3" borderId="1" xfId="0" applyNumberFormat="1" applyFont="1" applyFill="1" applyBorder="1" applyAlignment="1">
      <alignment/>
    </xf>
    <xf numFmtId="168" fontId="0" fillId="0" borderId="1" xfId="0" applyNumberFormat="1" applyFont="1" applyBorder="1" applyAlignment="1">
      <alignment/>
    </xf>
    <xf numFmtId="168" fontId="0" fillId="3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  <xf numFmtId="168" fontId="1" fillId="3" borderId="1" xfId="0" applyNumberFormat="1" applyFont="1" applyFill="1" applyBorder="1" applyAlignment="1">
      <alignment/>
    </xf>
    <xf numFmtId="168" fontId="4" fillId="0" borderId="1" xfId="0" applyNumberFormat="1" applyFont="1" applyBorder="1" applyAlignment="1">
      <alignment/>
    </xf>
    <xf numFmtId="168" fontId="4" fillId="3" borderId="1" xfId="0" applyNumberFormat="1" applyFont="1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168" fontId="4" fillId="0" borderId="1" xfId="0" applyNumberFormat="1" applyFont="1" applyBorder="1" applyAlignment="1">
      <alignment/>
    </xf>
    <xf numFmtId="168" fontId="4" fillId="3" borderId="1" xfId="0" applyNumberFormat="1" applyFont="1" applyFill="1" applyBorder="1" applyAlignment="1">
      <alignment/>
    </xf>
    <xf numFmtId="168" fontId="0" fillId="0" borderId="1" xfId="0" applyNumberFormat="1" applyFont="1" applyBorder="1" applyAlignment="1">
      <alignment vertical="justify"/>
    </xf>
    <xf numFmtId="168" fontId="0" fillId="3" borderId="1" xfId="0" applyNumberFormat="1" applyFont="1" applyFill="1" applyBorder="1" applyAlignment="1">
      <alignment vertical="justify"/>
    </xf>
    <xf numFmtId="168" fontId="2" fillId="3" borderId="1" xfId="20" applyNumberFormat="1" applyFont="1" applyFill="1" applyBorder="1" applyAlignment="1">
      <alignment/>
    </xf>
    <xf numFmtId="168" fontId="7" fillId="3" borderId="1" xfId="0" applyNumberFormat="1" applyFont="1" applyFill="1" applyBorder="1" applyAlignment="1">
      <alignment/>
    </xf>
    <xf numFmtId="168" fontId="7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8" fontId="4" fillId="0" borderId="1" xfId="20" applyNumberFormat="1" applyFont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justify"/>
    </xf>
    <xf numFmtId="4" fontId="4" fillId="0" borderId="1" xfId="0" applyNumberFormat="1" applyFont="1" applyBorder="1" applyAlignment="1">
      <alignment vertical="justify"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vertical="justify"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2" fillId="0" borderId="1" xfId="20" applyNumberFormat="1" applyFont="1" applyBorder="1" applyAlignment="1">
      <alignment/>
    </xf>
    <xf numFmtId="4" fontId="1" fillId="3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168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168" fontId="9" fillId="3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168" fontId="10" fillId="3" borderId="1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Alignment="1">
      <alignment vertical="top"/>
    </xf>
    <xf numFmtId="168" fontId="7" fillId="0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 wrapText="1"/>
    </xf>
    <xf numFmtId="168" fontId="2" fillId="5" borderId="1" xfId="0" applyNumberFormat="1" applyFont="1" applyFill="1" applyBorder="1" applyAlignment="1">
      <alignment/>
    </xf>
    <xf numFmtId="168" fontId="0" fillId="5" borderId="1" xfId="0" applyNumberFormat="1" applyFont="1" applyFill="1" applyBorder="1" applyAlignment="1">
      <alignment/>
    </xf>
    <xf numFmtId="4" fontId="2" fillId="5" borderId="1" xfId="0" applyNumberFormat="1" applyFont="1" applyFill="1" applyBorder="1" applyAlignment="1">
      <alignment/>
    </xf>
    <xf numFmtId="168" fontId="2" fillId="5" borderId="1" xfId="0" applyNumberFormat="1" applyFont="1" applyFill="1" applyBorder="1" applyAlignment="1">
      <alignment/>
    </xf>
    <xf numFmtId="168" fontId="7" fillId="4" borderId="1" xfId="20" applyNumberFormat="1" applyFont="1" applyFill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justify"/>
    </xf>
    <xf numFmtId="0" fontId="1" fillId="3" borderId="3" xfId="0" applyFont="1" applyFill="1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2"/>
  <sheetViews>
    <sheetView view="pageBreakPreview" zoomScale="99" zoomScaleNormal="99" zoomScaleSheetLayoutView="99" workbookViewId="0" topLeftCell="A780">
      <selection activeCell="G321" sqref="G321"/>
    </sheetView>
  </sheetViews>
  <sheetFormatPr defaultColWidth="9.00390625" defaultRowHeight="12.75"/>
  <cols>
    <col min="1" max="1" width="45.375" style="13" customWidth="1"/>
    <col min="2" max="2" width="6.125" style="3" customWidth="1"/>
    <col min="3" max="3" width="9.00390625" style="3" customWidth="1"/>
    <col min="4" max="5" width="4.75390625" style="3" customWidth="1"/>
    <col min="6" max="6" width="5.375" style="3" customWidth="1"/>
    <col min="7" max="7" width="22.75390625" style="0" customWidth="1"/>
    <col min="8" max="8" width="21.75390625" style="0" customWidth="1"/>
    <col min="9" max="9" width="11.375" style="0" customWidth="1"/>
    <col min="10" max="10" width="18.75390625" style="0" customWidth="1"/>
    <col min="11" max="11" width="14.375" style="0" customWidth="1"/>
  </cols>
  <sheetData>
    <row r="1" ht="12.75">
      <c r="H1" s="18" t="s">
        <v>309</v>
      </c>
    </row>
    <row r="2" spans="1:8" ht="12.75">
      <c r="A2" s="169"/>
      <c r="B2" s="169"/>
      <c r="C2" s="169"/>
      <c r="D2" s="169"/>
      <c r="E2" s="169"/>
      <c r="F2" s="169"/>
      <c r="G2" s="169"/>
      <c r="H2" s="169" t="s">
        <v>310</v>
      </c>
    </row>
    <row r="3" spans="1:8" ht="12.75">
      <c r="A3" s="94"/>
      <c r="B3" s="94"/>
      <c r="C3" s="94"/>
      <c r="D3" s="94"/>
      <c r="E3" s="95"/>
      <c r="F3" s="21"/>
      <c r="G3" s="21"/>
      <c r="H3" s="21" t="s">
        <v>311</v>
      </c>
    </row>
    <row r="4" spans="1:9" ht="15.75">
      <c r="A4" s="283" t="s">
        <v>258</v>
      </c>
      <c r="B4" s="283"/>
      <c r="C4" s="283"/>
      <c r="D4" s="283"/>
      <c r="E4" s="283"/>
      <c r="F4" s="283"/>
      <c r="G4" s="283"/>
      <c r="H4" s="283"/>
      <c r="I4" s="145"/>
    </row>
    <row r="5" spans="1:9" ht="15.75">
      <c r="A5" s="146" t="s">
        <v>256</v>
      </c>
      <c r="B5" s="146"/>
      <c r="C5" s="146"/>
      <c r="D5" s="146"/>
      <c r="E5" s="147"/>
      <c r="F5" s="148"/>
      <c r="G5" s="148"/>
      <c r="H5" s="148"/>
      <c r="I5" s="145"/>
    </row>
    <row r="6" spans="1:9" ht="15.75">
      <c r="A6" s="146" t="s">
        <v>257</v>
      </c>
      <c r="B6" s="146"/>
      <c r="C6" s="146"/>
      <c r="D6" s="146"/>
      <c r="E6" s="147"/>
      <c r="F6" s="148"/>
      <c r="G6" s="148"/>
      <c r="H6" s="148"/>
      <c r="I6" s="145"/>
    </row>
    <row r="7" spans="1:10" ht="12.75" customHeight="1">
      <c r="A7" s="280" t="s">
        <v>0</v>
      </c>
      <c r="B7" s="281"/>
      <c r="C7" s="281"/>
      <c r="D7" s="281"/>
      <c r="E7" s="281"/>
      <c r="F7" s="282"/>
      <c r="G7" s="278" t="s">
        <v>246</v>
      </c>
      <c r="H7" s="276" t="s">
        <v>225</v>
      </c>
      <c r="J7" s="126"/>
    </row>
    <row r="8" spans="1:10" ht="24.75" customHeight="1">
      <c r="A8" s="1" t="s">
        <v>1</v>
      </c>
      <c r="B8" s="2" t="s">
        <v>164</v>
      </c>
      <c r="C8" s="2" t="s">
        <v>165</v>
      </c>
      <c r="D8" s="2" t="s">
        <v>166</v>
      </c>
      <c r="E8" s="2" t="s">
        <v>167</v>
      </c>
      <c r="F8" s="2" t="s">
        <v>168</v>
      </c>
      <c r="G8" s="279"/>
      <c r="H8" s="277"/>
      <c r="J8" s="126"/>
    </row>
    <row r="9" spans="1:10" ht="12.75">
      <c r="A9" s="47" t="s">
        <v>3</v>
      </c>
      <c r="B9" s="48" t="s">
        <v>144</v>
      </c>
      <c r="C9" s="48" t="s">
        <v>82</v>
      </c>
      <c r="D9" s="48" t="s">
        <v>2</v>
      </c>
      <c r="E9" s="48"/>
      <c r="F9" s="48"/>
      <c r="G9" s="158">
        <f>G10+G200+G258+G262+G248</f>
        <v>25407266.917999998</v>
      </c>
      <c r="H9" s="158"/>
      <c r="J9" s="126"/>
    </row>
    <row r="10" spans="1:10" ht="25.5">
      <c r="A10" s="112" t="s">
        <v>231</v>
      </c>
      <c r="B10" s="113" t="s">
        <v>145</v>
      </c>
      <c r="C10" s="113" t="s">
        <v>232</v>
      </c>
      <c r="D10" s="113" t="s">
        <v>2</v>
      </c>
      <c r="E10" s="113"/>
      <c r="F10" s="113"/>
      <c r="G10" s="114">
        <f>G11</f>
        <v>742130</v>
      </c>
      <c r="H10" s="115"/>
      <c r="J10" s="126"/>
    </row>
    <row r="11" spans="1:10" ht="25.5">
      <c r="A11" s="8" t="s">
        <v>171</v>
      </c>
      <c r="B11" s="4" t="s">
        <v>145</v>
      </c>
      <c r="C11" s="4" t="s">
        <v>232</v>
      </c>
      <c r="D11" s="4" t="s">
        <v>2</v>
      </c>
      <c r="E11" s="4"/>
      <c r="F11" s="4"/>
      <c r="G11" s="110">
        <f>G12</f>
        <v>742130</v>
      </c>
      <c r="H11" s="108"/>
      <c r="J11" s="126"/>
    </row>
    <row r="12" spans="1:10" ht="12.75">
      <c r="A12" s="10" t="s">
        <v>174</v>
      </c>
      <c r="B12" s="14" t="s">
        <v>145</v>
      </c>
      <c r="C12" s="14" t="s">
        <v>232</v>
      </c>
      <c r="D12" s="14" t="s">
        <v>175</v>
      </c>
      <c r="E12" s="14" t="s">
        <v>2</v>
      </c>
      <c r="F12" s="14"/>
      <c r="G12" s="52">
        <f>G13+G165+G190+G188</f>
        <v>742130</v>
      </c>
      <c r="H12" s="110"/>
      <c r="J12" s="126"/>
    </row>
    <row r="13" spans="1:10" ht="12.75">
      <c r="A13" s="10" t="s">
        <v>4</v>
      </c>
      <c r="B13" s="14" t="s">
        <v>145</v>
      </c>
      <c r="C13" s="14" t="s">
        <v>232</v>
      </c>
      <c r="D13" s="14" t="s">
        <v>175</v>
      </c>
      <c r="E13" s="14" t="s">
        <v>5</v>
      </c>
      <c r="F13" s="14"/>
      <c r="G13" s="61">
        <f>G14+G15+G164</f>
        <v>51630</v>
      </c>
      <c r="H13" s="110"/>
      <c r="J13" s="126"/>
    </row>
    <row r="14" spans="1:10" ht="12.75">
      <c r="A14" s="19" t="s">
        <v>6</v>
      </c>
      <c r="B14" s="20" t="s">
        <v>145</v>
      </c>
      <c r="C14" s="20" t="s">
        <v>232</v>
      </c>
      <c r="D14" s="20" t="s">
        <v>175</v>
      </c>
      <c r="E14" s="20" t="s">
        <v>7</v>
      </c>
      <c r="F14" s="14"/>
      <c r="G14" s="56"/>
      <c r="H14" s="110"/>
      <c r="J14" s="126"/>
    </row>
    <row r="15" spans="1:10" ht="12.75">
      <c r="A15" s="8" t="s">
        <v>233</v>
      </c>
      <c r="B15" s="20" t="s">
        <v>145</v>
      </c>
      <c r="C15" s="20" t="s">
        <v>232</v>
      </c>
      <c r="D15" s="20" t="s">
        <v>175</v>
      </c>
      <c r="E15" s="4" t="s">
        <v>9</v>
      </c>
      <c r="F15" s="4"/>
      <c r="G15" s="56">
        <f>G161+G162+G163</f>
        <v>51630</v>
      </c>
      <c r="H15" s="108"/>
      <c r="J15" s="126"/>
    </row>
    <row r="16" spans="1:10" s="78" customFormat="1" ht="38.25" customHeight="1" hidden="1">
      <c r="A16" s="47" t="s">
        <v>169</v>
      </c>
      <c r="B16" s="48" t="s">
        <v>170</v>
      </c>
      <c r="C16" s="48" t="s">
        <v>88</v>
      </c>
      <c r="D16" s="48" t="s">
        <v>2</v>
      </c>
      <c r="E16" s="48" t="s">
        <v>2</v>
      </c>
      <c r="F16" s="48"/>
      <c r="G16" s="55"/>
      <c r="H16" s="96"/>
      <c r="J16" s="127"/>
    </row>
    <row r="17" spans="1:10" s="78" customFormat="1" ht="25.5" customHeight="1" hidden="1">
      <c r="A17" s="79" t="s">
        <v>171</v>
      </c>
      <c r="B17" s="80" t="s">
        <v>170</v>
      </c>
      <c r="C17" s="80" t="s">
        <v>82</v>
      </c>
      <c r="D17" s="80" t="s">
        <v>2</v>
      </c>
      <c r="E17" s="80" t="s">
        <v>2</v>
      </c>
      <c r="F17" s="48"/>
      <c r="G17" s="55">
        <f>SUM(H17:H17)</f>
        <v>0</v>
      </c>
      <c r="H17" s="96"/>
      <c r="J17" s="127"/>
    </row>
    <row r="18" spans="1:10" s="83" customFormat="1" ht="25.5" customHeight="1" hidden="1">
      <c r="A18" s="81" t="s">
        <v>172</v>
      </c>
      <c r="B18" s="82" t="s">
        <v>170</v>
      </c>
      <c r="C18" s="82" t="s">
        <v>82</v>
      </c>
      <c r="D18" s="82" t="s">
        <v>173</v>
      </c>
      <c r="E18" s="82" t="s">
        <v>2</v>
      </c>
      <c r="F18" s="82"/>
      <c r="G18" s="55"/>
      <c r="H18" s="97"/>
      <c r="J18" s="128"/>
    </row>
    <row r="19" spans="1:10" s="72" customFormat="1" ht="12.75" customHeight="1" hidden="1">
      <c r="A19" s="43" t="s">
        <v>4</v>
      </c>
      <c r="B19" s="44"/>
      <c r="C19" s="44"/>
      <c r="D19" s="44"/>
      <c r="E19" s="44" t="s">
        <v>5</v>
      </c>
      <c r="F19" s="44"/>
      <c r="G19" s="56">
        <f>G14*26.2%</f>
        <v>0</v>
      </c>
      <c r="H19" s="97"/>
      <c r="J19" s="129"/>
    </row>
    <row r="20" spans="1:10" s="92" customFormat="1" ht="12.75" customHeight="1" hidden="1">
      <c r="A20" s="87" t="s">
        <v>6</v>
      </c>
      <c r="B20" s="27"/>
      <c r="C20" s="27"/>
      <c r="D20" s="27"/>
      <c r="E20" s="27" t="s">
        <v>7</v>
      </c>
      <c r="F20" s="27"/>
      <c r="G20" s="61">
        <f>SUM(G21,G22,G25,G30,G36)</f>
        <v>0</v>
      </c>
      <c r="H20" s="109"/>
      <c r="J20" s="130"/>
    </row>
    <row r="21" spans="1:10" s="92" customFormat="1" ht="12.75" customHeight="1" hidden="1">
      <c r="A21" s="87" t="s">
        <v>13</v>
      </c>
      <c r="B21" s="27"/>
      <c r="C21" s="27"/>
      <c r="D21" s="27"/>
      <c r="E21" s="27" t="s">
        <v>14</v>
      </c>
      <c r="F21" s="27"/>
      <c r="G21" s="56"/>
      <c r="H21" s="109"/>
      <c r="J21" s="130"/>
    </row>
    <row r="22" spans="1:10" s="31" customFormat="1" ht="12.75" customHeight="1" hidden="1">
      <c r="A22" s="47" t="s">
        <v>174</v>
      </c>
      <c r="B22" s="48" t="s">
        <v>170</v>
      </c>
      <c r="C22" s="48" t="s">
        <v>82</v>
      </c>
      <c r="D22" s="48" t="s">
        <v>175</v>
      </c>
      <c r="E22" s="48" t="s">
        <v>2</v>
      </c>
      <c r="F22" s="48"/>
      <c r="G22" s="102">
        <f>SUM(G23:G24)</f>
        <v>0</v>
      </c>
      <c r="H22" s="109"/>
      <c r="J22" s="131"/>
    </row>
    <row r="23" spans="1:10" s="31" customFormat="1" ht="15" customHeight="1" hidden="1">
      <c r="A23" s="10" t="s">
        <v>4</v>
      </c>
      <c r="B23" s="25" t="s">
        <v>170</v>
      </c>
      <c r="C23" s="25" t="s">
        <v>82</v>
      </c>
      <c r="D23" s="25" t="s">
        <v>175</v>
      </c>
      <c r="E23" s="14" t="s">
        <v>5</v>
      </c>
      <c r="F23" s="14"/>
      <c r="G23" s="55"/>
      <c r="H23" s="109"/>
      <c r="J23" s="131"/>
    </row>
    <row r="24" spans="1:10" s="92" customFormat="1" ht="12.75" customHeight="1" hidden="1">
      <c r="A24" s="87" t="s">
        <v>6</v>
      </c>
      <c r="B24" s="89" t="s">
        <v>170</v>
      </c>
      <c r="C24" s="89" t="s">
        <v>82</v>
      </c>
      <c r="D24" s="89" t="s">
        <v>175</v>
      </c>
      <c r="E24" s="27" t="s">
        <v>7</v>
      </c>
      <c r="F24" s="27"/>
      <c r="G24" s="55"/>
      <c r="H24" s="109"/>
      <c r="J24" s="130"/>
    </row>
    <row r="25" spans="1:10" s="92" customFormat="1" ht="12.75" customHeight="1" hidden="1">
      <c r="A25" s="87" t="s">
        <v>8</v>
      </c>
      <c r="B25" s="89" t="s">
        <v>170</v>
      </c>
      <c r="C25" s="89" t="s">
        <v>82</v>
      </c>
      <c r="D25" s="89" t="s">
        <v>175</v>
      </c>
      <c r="E25" s="27" t="s">
        <v>9</v>
      </c>
      <c r="F25" s="27"/>
      <c r="G25" s="102">
        <f>SUM(G26:G28)</f>
        <v>0</v>
      </c>
      <c r="H25" s="97"/>
      <c r="J25" s="130"/>
    </row>
    <row r="26" spans="1:10" s="31" customFormat="1" ht="25.5" customHeight="1" hidden="1">
      <c r="A26" s="11" t="s">
        <v>10</v>
      </c>
      <c r="B26" s="91"/>
      <c r="C26" s="91"/>
      <c r="D26" s="91"/>
      <c r="E26" s="4"/>
      <c r="F26" s="4" t="s">
        <v>183</v>
      </c>
      <c r="G26" s="55"/>
      <c r="H26" s="96"/>
      <c r="J26" s="131"/>
    </row>
    <row r="27" spans="1:10" s="31" customFormat="1" ht="12.75" customHeight="1" hidden="1">
      <c r="A27" s="12" t="s">
        <v>11</v>
      </c>
      <c r="B27" s="91"/>
      <c r="C27" s="91"/>
      <c r="D27" s="91"/>
      <c r="E27" s="4"/>
      <c r="F27" s="4"/>
      <c r="G27" s="55"/>
      <c r="H27" s="97"/>
      <c r="J27" s="131"/>
    </row>
    <row r="28" spans="1:10" s="31" customFormat="1" ht="25.5" customHeight="1" hidden="1">
      <c r="A28" s="6" t="s">
        <v>12</v>
      </c>
      <c r="B28" s="91"/>
      <c r="C28" s="91"/>
      <c r="D28" s="91"/>
      <c r="E28" s="4"/>
      <c r="F28" s="4" t="s">
        <v>184</v>
      </c>
      <c r="G28" s="55"/>
      <c r="H28" s="97"/>
      <c r="J28" s="131"/>
    </row>
    <row r="29" spans="1:10" s="92" customFormat="1" ht="12.75" customHeight="1" hidden="1">
      <c r="A29" s="87" t="s">
        <v>13</v>
      </c>
      <c r="B29" s="89" t="s">
        <v>170</v>
      </c>
      <c r="C29" s="89" t="s">
        <v>82</v>
      </c>
      <c r="D29" s="89" t="s">
        <v>175</v>
      </c>
      <c r="E29" s="27" t="s">
        <v>14</v>
      </c>
      <c r="F29" s="27"/>
      <c r="G29" s="56">
        <f>SUM(H29:H29)</f>
        <v>0</v>
      </c>
      <c r="H29" s="109"/>
      <c r="J29" s="130"/>
    </row>
    <row r="30" spans="1:10" s="72" customFormat="1" ht="12.75" customHeight="1" hidden="1">
      <c r="A30" s="43" t="s">
        <v>15</v>
      </c>
      <c r="B30" s="70" t="s">
        <v>170</v>
      </c>
      <c r="C30" s="70" t="s">
        <v>82</v>
      </c>
      <c r="D30" s="70" t="s">
        <v>175</v>
      </c>
      <c r="E30" s="44" t="s">
        <v>16</v>
      </c>
      <c r="F30" s="44"/>
      <c r="G30" s="56">
        <f>SUM(G31:G35)</f>
        <v>0</v>
      </c>
      <c r="H30" s="109"/>
      <c r="J30" s="129"/>
    </row>
    <row r="31" spans="1:10" s="92" customFormat="1" ht="12.75" customHeight="1" hidden="1">
      <c r="A31" s="87" t="s">
        <v>17</v>
      </c>
      <c r="B31" s="89" t="s">
        <v>170</v>
      </c>
      <c r="C31" s="89" t="s">
        <v>82</v>
      </c>
      <c r="D31" s="89" t="s">
        <v>175</v>
      </c>
      <c r="E31" s="27" t="s">
        <v>18</v>
      </c>
      <c r="F31" s="27"/>
      <c r="G31" s="54"/>
      <c r="H31" s="97">
        <f>SUM(H32:H34)</f>
        <v>0</v>
      </c>
      <c r="J31" s="130"/>
    </row>
    <row r="32" spans="1:10" s="92" customFormat="1" ht="12.75" customHeight="1" hidden="1">
      <c r="A32" s="87" t="s">
        <v>21</v>
      </c>
      <c r="B32" s="89" t="s">
        <v>170</v>
      </c>
      <c r="C32" s="89" t="s">
        <v>82</v>
      </c>
      <c r="D32" s="89" t="s">
        <v>175</v>
      </c>
      <c r="E32" s="27" t="s">
        <v>19</v>
      </c>
      <c r="F32" s="27"/>
      <c r="G32" s="54">
        <f>SUM(H32:H32)</f>
        <v>0</v>
      </c>
      <c r="H32" s="109"/>
      <c r="J32" s="130"/>
    </row>
    <row r="33" spans="1:10" s="31" customFormat="1" ht="25.5" customHeight="1" hidden="1">
      <c r="A33" s="11" t="s">
        <v>20</v>
      </c>
      <c r="B33" s="91"/>
      <c r="C33" s="91"/>
      <c r="D33" s="91"/>
      <c r="E33" s="4"/>
      <c r="F33" s="4" t="s">
        <v>183</v>
      </c>
      <c r="G33" s="54"/>
      <c r="H33" s="109"/>
      <c r="J33" s="131"/>
    </row>
    <row r="34" spans="1:10" s="31" customFormat="1" ht="38.25" customHeight="1" hidden="1">
      <c r="A34" s="8" t="s">
        <v>22</v>
      </c>
      <c r="B34" s="91"/>
      <c r="C34" s="91"/>
      <c r="D34" s="91"/>
      <c r="E34" s="4"/>
      <c r="F34" s="4" t="s">
        <v>185</v>
      </c>
      <c r="G34" s="54"/>
      <c r="H34" s="109"/>
      <c r="J34" s="131"/>
    </row>
    <row r="35" spans="1:10" s="92" customFormat="1" ht="12.75" customHeight="1" hidden="1">
      <c r="A35" s="87" t="s">
        <v>23</v>
      </c>
      <c r="B35" s="89" t="s">
        <v>170</v>
      </c>
      <c r="C35" s="89" t="s">
        <v>82</v>
      </c>
      <c r="D35" s="89" t="s">
        <v>175</v>
      </c>
      <c r="E35" s="27" t="s">
        <v>24</v>
      </c>
      <c r="F35" s="27"/>
      <c r="G35" s="54"/>
      <c r="H35" s="97"/>
      <c r="J35" s="130"/>
    </row>
    <row r="36" spans="1:10" s="31" customFormat="1" ht="25.5" customHeight="1" hidden="1">
      <c r="A36" s="7" t="s">
        <v>25</v>
      </c>
      <c r="B36" s="91"/>
      <c r="C36" s="91"/>
      <c r="D36" s="91"/>
      <c r="E36" s="4"/>
      <c r="F36" s="4" t="s">
        <v>186</v>
      </c>
      <c r="G36" s="56">
        <f>SUM(G37:G39)</f>
        <v>0</v>
      </c>
      <c r="H36" s="97">
        <f>SUM(H37:H42)</f>
        <v>0</v>
      </c>
      <c r="J36" s="131"/>
    </row>
    <row r="37" spans="1:10" s="31" customFormat="1" ht="25.5" customHeight="1" hidden="1">
      <c r="A37" s="7" t="s">
        <v>26</v>
      </c>
      <c r="B37" s="91"/>
      <c r="C37" s="91"/>
      <c r="D37" s="91"/>
      <c r="E37" s="4"/>
      <c r="F37" s="4" t="s">
        <v>187</v>
      </c>
      <c r="G37" s="57"/>
      <c r="H37" s="97"/>
      <c r="J37" s="131"/>
    </row>
    <row r="38" spans="1:10" s="31" customFormat="1" ht="12.75" customHeight="1" hidden="1">
      <c r="A38" s="7" t="s">
        <v>27</v>
      </c>
      <c r="B38" s="91"/>
      <c r="C38" s="91"/>
      <c r="D38" s="91"/>
      <c r="E38" s="4"/>
      <c r="F38" s="4" t="s">
        <v>188</v>
      </c>
      <c r="G38" s="57">
        <f>SUM(H38:H38)</f>
        <v>0</v>
      </c>
      <c r="H38" s="97"/>
      <c r="J38" s="131"/>
    </row>
    <row r="39" spans="1:10" s="92" customFormat="1" ht="12.75" customHeight="1" hidden="1">
      <c r="A39" s="87" t="s">
        <v>28</v>
      </c>
      <c r="B39" s="89" t="s">
        <v>170</v>
      </c>
      <c r="C39" s="89" t="s">
        <v>82</v>
      </c>
      <c r="D39" s="89" t="s">
        <v>175</v>
      </c>
      <c r="E39" s="27" t="s">
        <v>29</v>
      </c>
      <c r="F39" s="27"/>
      <c r="G39" s="57"/>
      <c r="H39" s="97"/>
      <c r="J39" s="130"/>
    </row>
    <row r="40" spans="1:10" s="92" customFormat="1" ht="12.75" customHeight="1" hidden="1">
      <c r="A40" s="87" t="s">
        <v>30</v>
      </c>
      <c r="B40" s="89" t="s">
        <v>170</v>
      </c>
      <c r="C40" s="89" t="s">
        <v>82</v>
      </c>
      <c r="D40" s="89" t="s">
        <v>175</v>
      </c>
      <c r="E40" s="27" t="s">
        <v>31</v>
      </c>
      <c r="F40" s="27"/>
      <c r="G40" s="61">
        <f>SUM(G41)</f>
        <v>0</v>
      </c>
      <c r="H40" s="97"/>
      <c r="J40" s="130"/>
    </row>
    <row r="41" spans="1:10" s="31" customFormat="1" ht="12.75" customHeight="1" hidden="1">
      <c r="A41" s="7" t="s">
        <v>32</v>
      </c>
      <c r="B41" s="91"/>
      <c r="C41" s="91"/>
      <c r="D41" s="91"/>
      <c r="E41" s="17"/>
      <c r="F41" s="17" t="s">
        <v>189</v>
      </c>
      <c r="G41" s="56">
        <f>SUM(H41:H42)</f>
        <v>0</v>
      </c>
      <c r="H41" s="97"/>
      <c r="J41" s="131"/>
    </row>
    <row r="42" spans="1:10" s="31" customFormat="1" ht="12.75" customHeight="1" hidden="1">
      <c r="A42" s="7" t="s">
        <v>33</v>
      </c>
      <c r="B42" s="91"/>
      <c r="C42" s="91"/>
      <c r="D42" s="91"/>
      <c r="E42" s="17"/>
      <c r="F42" s="17" t="s">
        <v>191</v>
      </c>
      <c r="G42" s="57">
        <f>SUM(H42:H42)</f>
        <v>0</v>
      </c>
      <c r="H42" s="98"/>
      <c r="J42" s="131"/>
    </row>
    <row r="43" spans="1:10" s="31" customFormat="1" ht="25.5" customHeight="1" hidden="1">
      <c r="A43" s="7" t="s">
        <v>34</v>
      </c>
      <c r="B43" s="91"/>
      <c r="C43" s="91"/>
      <c r="D43" s="91"/>
      <c r="E43" s="17"/>
      <c r="F43" s="17" t="s">
        <v>221</v>
      </c>
      <c r="G43" s="61">
        <f>SUM(G44)</f>
        <v>0</v>
      </c>
      <c r="H43" s="97"/>
      <c r="J43" s="131"/>
    </row>
    <row r="44" spans="1:10" s="31" customFormat="1" ht="25.5" customHeight="1" hidden="1">
      <c r="A44" s="7" t="s">
        <v>35</v>
      </c>
      <c r="B44" s="91"/>
      <c r="C44" s="91"/>
      <c r="D44" s="91"/>
      <c r="E44" s="17"/>
      <c r="F44" s="17" t="s">
        <v>190</v>
      </c>
      <c r="G44" s="57"/>
      <c r="H44" s="98"/>
      <c r="J44" s="131"/>
    </row>
    <row r="45" spans="1:10" s="31" customFormat="1" ht="51" customHeight="1" hidden="1">
      <c r="A45" s="7" t="s">
        <v>36</v>
      </c>
      <c r="B45" s="91"/>
      <c r="C45" s="91"/>
      <c r="D45" s="91"/>
      <c r="E45" s="17"/>
      <c r="F45" s="17" t="s">
        <v>224</v>
      </c>
      <c r="G45" s="61">
        <f>SUM(G46,G50)</f>
        <v>0</v>
      </c>
      <c r="H45" s="100"/>
      <c r="J45" s="131"/>
    </row>
    <row r="46" spans="1:10" s="92" customFormat="1" ht="12.75" customHeight="1" hidden="1">
      <c r="A46" s="87" t="s">
        <v>37</v>
      </c>
      <c r="B46" s="89" t="s">
        <v>170</v>
      </c>
      <c r="C46" s="89" t="s">
        <v>82</v>
      </c>
      <c r="D46" s="89" t="s">
        <v>175</v>
      </c>
      <c r="E46" s="27" t="s">
        <v>38</v>
      </c>
      <c r="F46" s="27"/>
      <c r="G46" s="56">
        <f>SUM(G47:G49)</f>
        <v>0</v>
      </c>
      <c r="H46" s="97"/>
      <c r="J46" s="130"/>
    </row>
    <row r="47" spans="1:10" s="31" customFormat="1" ht="38.25" customHeight="1" hidden="1">
      <c r="A47" s="11" t="s">
        <v>39</v>
      </c>
      <c r="B47" s="91"/>
      <c r="C47" s="91"/>
      <c r="D47" s="91"/>
      <c r="E47" s="20"/>
      <c r="F47" s="20" t="s">
        <v>183</v>
      </c>
      <c r="G47" s="57">
        <f>SUM(H47:H47)</f>
        <v>0</v>
      </c>
      <c r="H47" s="96">
        <f>SUM(H48)</f>
        <v>0</v>
      </c>
      <c r="J47" s="131"/>
    </row>
    <row r="48" spans="1:10" s="31" customFormat="1" ht="38.25" customHeight="1" hidden="1">
      <c r="A48" s="19" t="s">
        <v>40</v>
      </c>
      <c r="B48" s="91"/>
      <c r="C48" s="91"/>
      <c r="D48" s="91"/>
      <c r="E48" s="20"/>
      <c r="F48" s="20" t="s">
        <v>222</v>
      </c>
      <c r="G48" s="57"/>
      <c r="H48" s="97"/>
      <c r="J48" s="131"/>
    </row>
    <row r="49" spans="1:10" s="31" customFormat="1" ht="25.5" customHeight="1" hidden="1">
      <c r="A49" s="12" t="s">
        <v>41</v>
      </c>
      <c r="B49" s="91"/>
      <c r="C49" s="91"/>
      <c r="D49" s="91"/>
      <c r="E49" s="20"/>
      <c r="F49" s="20" t="s">
        <v>192</v>
      </c>
      <c r="G49" s="57"/>
      <c r="H49" s="98"/>
      <c r="J49" s="131"/>
    </row>
    <row r="50" spans="1:10" s="72" customFormat="1" ht="12.75" customHeight="1" hidden="1">
      <c r="A50" s="43" t="s">
        <v>42</v>
      </c>
      <c r="B50" s="70" t="s">
        <v>170</v>
      </c>
      <c r="C50" s="70" t="s">
        <v>82</v>
      </c>
      <c r="D50" s="70" t="s">
        <v>175</v>
      </c>
      <c r="E50" s="44" t="s">
        <v>43</v>
      </c>
      <c r="F50" s="44"/>
      <c r="G50" s="56">
        <f>SUM(G51:G54)</f>
        <v>0</v>
      </c>
      <c r="H50" s="96">
        <f>SUM(H51:H51)</f>
        <v>0</v>
      </c>
      <c r="J50" s="129"/>
    </row>
    <row r="51" spans="1:10" s="92" customFormat="1" ht="12.75" customHeight="1" hidden="1">
      <c r="A51" s="87" t="s">
        <v>44</v>
      </c>
      <c r="B51" s="89" t="s">
        <v>170</v>
      </c>
      <c r="C51" s="89" t="s">
        <v>82</v>
      </c>
      <c r="D51" s="89" t="s">
        <v>175</v>
      </c>
      <c r="E51" s="27" t="s">
        <v>45</v>
      </c>
      <c r="F51" s="27"/>
      <c r="G51" s="57">
        <f>SUM(H51:H51)</f>
        <v>0</v>
      </c>
      <c r="H51" s="98"/>
      <c r="J51" s="130"/>
    </row>
    <row r="52" spans="1:10" s="31" customFormat="1" ht="12.75" customHeight="1" hidden="1">
      <c r="A52" s="6" t="s">
        <v>46</v>
      </c>
      <c r="B52" s="91"/>
      <c r="C52" s="91"/>
      <c r="D52" s="91"/>
      <c r="E52" s="20"/>
      <c r="F52" s="20"/>
      <c r="G52" s="57">
        <f>SUM(H52:H52)</f>
        <v>0</v>
      </c>
      <c r="H52" s="96">
        <f>SUM(H53,H57)</f>
        <v>0</v>
      </c>
      <c r="J52" s="131"/>
    </row>
    <row r="53" spans="1:10" s="72" customFormat="1" ht="12.75" customHeight="1" hidden="1">
      <c r="A53" s="43" t="s">
        <v>47</v>
      </c>
      <c r="B53" s="70" t="s">
        <v>170</v>
      </c>
      <c r="C53" s="70" t="s">
        <v>82</v>
      </c>
      <c r="D53" s="70" t="s">
        <v>175</v>
      </c>
      <c r="E53" s="44" t="s">
        <v>48</v>
      </c>
      <c r="F53" s="44"/>
      <c r="G53" s="57"/>
      <c r="H53" s="97">
        <f>SUM(H54:H56)</f>
        <v>0</v>
      </c>
      <c r="J53" s="129"/>
    </row>
    <row r="54" spans="1:10" s="31" customFormat="1" ht="25.5" customHeight="1" hidden="1">
      <c r="A54" s="12" t="s">
        <v>41</v>
      </c>
      <c r="B54" s="91"/>
      <c r="C54" s="91"/>
      <c r="D54" s="91"/>
      <c r="E54" s="20"/>
      <c r="F54" s="20"/>
      <c r="G54" s="57"/>
      <c r="H54" s="98"/>
      <c r="J54" s="131"/>
    </row>
    <row r="55" spans="1:10" s="72" customFormat="1" ht="12.75" customHeight="1" hidden="1">
      <c r="A55" s="43" t="s">
        <v>49</v>
      </c>
      <c r="B55" s="70" t="s">
        <v>170</v>
      </c>
      <c r="C55" s="70" t="s">
        <v>82</v>
      </c>
      <c r="D55" s="70" t="s">
        <v>175</v>
      </c>
      <c r="E55" s="44" t="s">
        <v>50</v>
      </c>
      <c r="F55" s="44"/>
      <c r="G55" s="98">
        <v>321.8</v>
      </c>
      <c r="H55" s="98"/>
      <c r="J55" s="129"/>
    </row>
    <row r="56" spans="1:10" s="92" customFormat="1" ht="12.75" customHeight="1" hidden="1">
      <c r="A56" s="87" t="s">
        <v>51</v>
      </c>
      <c r="B56" s="89" t="s">
        <v>170</v>
      </c>
      <c r="C56" s="89" t="s">
        <v>82</v>
      </c>
      <c r="D56" s="89" t="s">
        <v>175</v>
      </c>
      <c r="E56" s="27" t="s">
        <v>52</v>
      </c>
      <c r="F56" s="27"/>
      <c r="G56" s="98">
        <v>349.9</v>
      </c>
      <c r="H56" s="98"/>
      <c r="J56" s="130"/>
    </row>
    <row r="57" spans="1:10" s="31" customFormat="1" ht="12.75" customHeight="1" hidden="1">
      <c r="A57" s="7" t="s">
        <v>53</v>
      </c>
      <c r="B57" s="91"/>
      <c r="C57" s="91"/>
      <c r="D57" s="91"/>
      <c r="E57" s="20"/>
      <c r="F57" s="20" t="s">
        <v>223</v>
      </c>
      <c r="G57" s="99">
        <f>SUM(G58:G61)</f>
        <v>408.5</v>
      </c>
      <c r="H57" s="97"/>
      <c r="J57" s="131"/>
    </row>
    <row r="58" spans="1:10" s="31" customFormat="1" ht="51" customHeight="1" hidden="1">
      <c r="A58" s="7" t="s">
        <v>54</v>
      </c>
      <c r="B58" s="91"/>
      <c r="C58" s="91"/>
      <c r="D58" s="91"/>
      <c r="E58" s="20"/>
      <c r="F58" s="20" t="s">
        <v>194</v>
      </c>
      <c r="G58" s="98">
        <f>SUM(H58:H58)</f>
        <v>0</v>
      </c>
      <c r="H58" s="98"/>
      <c r="J58" s="131"/>
    </row>
    <row r="59" spans="1:10" s="31" customFormat="1" ht="63.75" customHeight="1" hidden="1">
      <c r="A59" s="7" t="s">
        <v>55</v>
      </c>
      <c r="B59" s="91"/>
      <c r="C59" s="91"/>
      <c r="D59" s="91"/>
      <c r="E59" s="20"/>
      <c r="F59" s="20" t="s">
        <v>193</v>
      </c>
      <c r="G59" s="98">
        <f>SUM(H59:H59)</f>
        <v>0</v>
      </c>
      <c r="H59" s="98"/>
      <c r="J59" s="131"/>
    </row>
    <row r="60" spans="1:10" s="92" customFormat="1" ht="12.75" customHeight="1" hidden="1">
      <c r="A60" s="87" t="s">
        <v>56</v>
      </c>
      <c r="B60" s="89" t="s">
        <v>170</v>
      </c>
      <c r="C60" s="89" t="s">
        <v>82</v>
      </c>
      <c r="D60" s="89" t="s">
        <v>175</v>
      </c>
      <c r="E60" s="27" t="s">
        <v>57</v>
      </c>
      <c r="F60" s="27"/>
      <c r="G60" s="98">
        <v>84</v>
      </c>
      <c r="H60" s="98"/>
      <c r="J60" s="130"/>
    </row>
    <row r="61" spans="1:10" s="31" customFormat="1" ht="25.5" customHeight="1" hidden="1">
      <c r="A61" s="7" t="s">
        <v>58</v>
      </c>
      <c r="B61" s="91"/>
      <c r="C61" s="91"/>
      <c r="D61" s="91"/>
      <c r="E61" s="20"/>
      <c r="F61" s="20" t="s">
        <v>195</v>
      </c>
      <c r="G61" s="98">
        <v>324.5</v>
      </c>
      <c r="H61" s="98"/>
      <c r="J61" s="131"/>
    </row>
    <row r="62" spans="1:10" s="31" customFormat="1" ht="12.75" customHeight="1" hidden="1">
      <c r="A62" s="7" t="s">
        <v>59</v>
      </c>
      <c r="B62" s="91"/>
      <c r="C62" s="91"/>
      <c r="D62" s="91"/>
      <c r="E62" s="20"/>
      <c r="F62" s="20" t="s">
        <v>196</v>
      </c>
      <c r="G62" s="101">
        <f>SUM(G63:G66)</f>
        <v>1569.4</v>
      </c>
      <c r="H62" s="101">
        <f>H64</f>
        <v>0</v>
      </c>
      <c r="J62" s="131"/>
    </row>
    <row r="63" spans="1:10" s="31" customFormat="1" ht="12.75" customHeight="1" hidden="1">
      <c r="A63" s="7" t="s">
        <v>60</v>
      </c>
      <c r="B63" s="91"/>
      <c r="C63" s="91"/>
      <c r="D63" s="91"/>
      <c r="E63" s="20"/>
      <c r="F63" s="20" t="s">
        <v>197</v>
      </c>
      <c r="G63" s="98">
        <f>SUM(H63:H63)</f>
        <v>0</v>
      </c>
      <c r="H63" s="98"/>
      <c r="J63" s="131"/>
    </row>
    <row r="64" spans="1:10" s="31" customFormat="1" ht="38.25" customHeight="1" hidden="1">
      <c r="A64" s="7" t="s">
        <v>61</v>
      </c>
      <c r="B64" s="91"/>
      <c r="C64" s="91"/>
      <c r="D64" s="91"/>
      <c r="E64" s="20"/>
      <c r="F64" s="20" t="s">
        <v>198</v>
      </c>
      <c r="G64" s="98"/>
      <c r="H64" s="98"/>
      <c r="J64" s="131"/>
    </row>
    <row r="65" spans="1:10" s="15" customFormat="1" ht="15" customHeight="1" hidden="1">
      <c r="A65" s="49" t="s">
        <v>176</v>
      </c>
      <c r="B65" s="48" t="s">
        <v>170</v>
      </c>
      <c r="C65" s="48" t="s">
        <v>82</v>
      </c>
      <c r="D65" s="48" t="s">
        <v>175</v>
      </c>
      <c r="E65" s="48" t="s">
        <v>2</v>
      </c>
      <c r="F65" s="48"/>
      <c r="G65" s="98">
        <v>1569.4</v>
      </c>
      <c r="H65" s="98"/>
      <c r="J65" s="132"/>
    </row>
    <row r="66" spans="1:10" s="45" customFormat="1" ht="13.5" customHeight="1" hidden="1">
      <c r="A66" s="43" t="s">
        <v>4</v>
      </c>
      <c r="B66" s="44" t="s">
        <v>170</v>
      </c>
      <c r="C66" s="44" t="s">
        <v>182</v>
      </c>
      <c r="D66" s="44" t="s">
        <v>175</v>
      </c>
      <c r="E66" s="44" t="s">
        <v>5</v>
      </c>
      <c r="F66" s="44"/>
      <c r="G66" s="98"/>
      <c r="H66" s="98"/>
      <c r="J66" s="133"/>
    </row>
    <row r="67" spans="1:10" s="28" customFormat="1" ht="12.75" hidden="1">
      <c r="A67" s="87" t="s">
        <v>6</v>
      </c>
      <c r="B67" s="27" t="s">
        <v>170</v>
      </c>
      <c r="C67" s="27" t="s">
        <v>182</v>
      </c>
      <c r="D67" s="27" t="s">
        <v>175</v>
      </c>
      <c r="E67" s="27" t="s">
        <v>7</v>
      </c>
      <c r="F67" s="27"/>
      <c r="G67" s="56"/>
      <c r="H67" s="56"/>
      <c r="J67" s="134"/>
    </row>
    <row r="68" spans="1:10" s="28" customFormat="1" ht="12.75" hidden="1">
      <c r="A68" s="87" t="s">
        <v>8</v>
      </c>
      <c r="B68" s="27" t="s">
        <v>170</v>
      </c>
      <c r="C68" s="27" t="s">
        <v>182</v>
      </c>
      <c r="D68" s="27" t="s">
        <v>175</v>
      </c>
      <c r="E68" s="27" t="s">
        <v>9</v>
      </c>
      <c r="F68" s="27"/>
      <c r="G68" s="56"/>
      <c r="H68" s="56"/>
      <c r="J68" s="134"/>
    </row>
    <row r="69" spans="1:10" ht="25.5" hidden="1">
      <c r="A69" s="11" t="s">
        <v>10</v>
      </c>
      <c r="B69" s="4"/>
      <c r="C69" s="4"/>
      <c r="D69" s="4"/>
      <c r="E69" s="4"/>
      <c r="F69" s="4" t="s">
        <v>183</v>
      </c>
      <c r="G69" s="55"/>
      <c r="H69" s="55"/>
      <c r="J69" s="126"/>
    </row>
    <row r="70" spans="1:10" ht="12.75" customHeight="1" hidden="1">
      <c r="A70" s="12" t="s">
        <v>11</v>
      </c>
      <c r="B70" s="4"/>
      <c r="C70" s="4"/>
      <c r="D70" s="4"/>
      <c r="E70" s="4"/>
      <c r="F70" s="4" t="s">
        <v>200</v>
      </c>
      <c r="G70" s="55"/>
      <c r="H70" s="55"/>
      <c r="J70" s="126"/>
    </row>
    <row r="71" spans="1:10" ht="26.25" customHeight="1" hidden="1">
      <c r="A71" s="6" t="s">
        <v>12</v>
      </c>
      <c r="B71" s="4"/>
      <c r="C71" s="4"/>
      <c r="D71" s="4"/>
      <c r="E71" s="4"/>
      <c r="F71" s="4" t="s">
        <v>184</v>
      </c>
      <c r="G71" s="55"/>
      <c r="H71" s="55"/>
      <c r="J71" s="126"/>
    </row>
    <row r="72" spans="1:10" s="28" customFormat="1" ht="12.75" hidden="1">
      <c r="A72" s="87" t="s">
        <v>13</v>
      </c>
      <c r="B72" s="27" t="s">
        <v>170</v>
      </c>
      <c r="C72" s="27" t="s">
        <v>182</v>
      </c>
      <c r="D72" s="27" t="s">
        <v>175</v>
      </c>
      <c r="E72" s="27" t="s">
        <v>14</v>
      </c>
      <c r="F72" s="27"/>
      <c r="G72" s="56"/>
      <c r="H72" s="56"/>
      <c r="J72" s="134"/>
    </row>
    <row r="73" spans="1:10" s="45" customFormat="1" ht="12.75" hidden="1">
      <c r="A73" s="43" t="s">
        <v>15</v>
      </c>
      <c r="B73" s="44" t="s">
        <v>170</v>
      </c>
      <c r="C73" s="44" t="s">
        <v>182</v>
      </c>
      <c r="D73" s="44" t="s">
        <v>175</v>
      </c>
      <c r="E73" s="44" t="s">
        <v>16</v>
      </c>
      <c r="F73" s="44"/>
      <c r="G73" s="61"/>
      <c r="H73" s="61"/>
      <c r="J73" s="133"/>
    </row>
    <row r="74" spans="1:10" s="28" customFormat="1" ht="12.75" hidden="1">
      <c r="A74" s="87" t="s">
        <v>17</v>
      </c>
      <c r="B74" s="27" t="s">
        <v>170</v>
      </c>
      <c r="C74" s="27" t="s">
        <v>182</v>
      </c>
      <c r="D74" s="27" t="s">
        <v>175</v>
      </c>
      <c r="E74" s="27" t="s">
        <v>18</v>
      </c>
      <c r="F74" s="27"/>
      <c r="G74" s="56"/>
      <c r="H74" s="56"/>
      <c r="J74" s="134"/>
    </row>
    <row r="75" spans="1:10" s="28" customFormat="1" ht="12.75" hidden="1">
      <c r="A75" s="87" t="s">
        <v>21</v>
      </c>
      <c r="B75" s="27" t="s">
        <v>170</v>
      </c>
      <c r="C75" s="27" t="s">
        <v>182</v>
      </c>
      <c r="D75" s="27" t="s">
        <v>175</v>
      </c>
      <c r="E75" s="27" t="s">
        <v>19</v>
      </c>
      <c r="F75" s="27"/>
      <c r="G75" s="56"/>
      <c r="H75" s="56"/>
      <c r="J75" s="134"/>
    </row>
    <row r="76" spans="1:10" ht="25.5" hidden="1">
      <c r="A76" s="11" t="s">
        <v>20</v>
      </c>
      <c r="B76" s="4"/>
      <c r="C76" s="4"/>
      <c r="D76" s="4"/>
      <c r="E76" s="4"/>
      <c r="F76" s="4" t="s">
        <v>183</v>
      </c>
      <c r="G76" s="55"/>
      <c r="H76" s="55"/>
      <c r="J76" s="126"/>
    </row>
    <row r="77" spans="1:10" ht="38.25" hidden="1">
      <c r="A77" s="8" t="s">
        <v>22</v>
      </c>
      <c r="B77" s="4"/>
      <c r="C77" s="4"/>
      <c r="D77" s="4"/>
      <c r="E77" s="4"/>
      <c r="F77" s="4" t="s">
        <v>185</v>
      </c>
      <c r="G77" s="55"/>
      <c r="H77" s="55"/>
      <c r="J77" s="126"/>
    </row>
    <row r="78" spans="1:10" s="28" customFormat="1" ht="12.75" hidden="1">
      <c r="A78" s="87" t="s">
        <v>23</v>
      </c>
      <c r="B78" s="27" t="s">
        <v>170</v>
      </c>
      <c r="C78" s="27" t="s">
        <v>182</v>
      </c>
      <c r="D78" s="27" t="s">
        <v>175</v>
      </c>
      <c r="E78" s="27" t="s">
        <v>24</v>
      </c>
      <c r="F78" s="27"/>
      <c r="G78" s="56"/>
      <c r="H78" s="56"/>
      <c r="J78" s="134"/>
    </row>
    <row r="79" spans="1:10" ht="12.75" customHeight="1" hidden="1">
      <c r="A79" s="7" t="s">
        <v>25</v>
      </c>
      <c r="B79" s="4"/>
      <c r="C79" s="4"/>
      <c r="D79" s="4"/>
      <c r="E79" s="4"/>
      <c r="F79" s="4" t="s">
        <v>186</v>
      </c>
      <c r="G79" s="55"/>
      <c r="H79" s="55"/>
      <c r="J79" s="126"/>
    </row>
    <row r="80" spans="1:10" ht="12.75" customHeight="1" hidden="1">
      <c r="A80" s="7" t="s">
        <v>26</v>
      </c>
      <c r="B80" s="4"/>
      <c r="C80" s="4"/>
      <c r="D80" s="4"/>
      <c r="E80" s="4"/>
      <c r="F80" s="4" t="s">
        <v>187</v>
      </c>
      <c r="G80" s="55"/>
      <c r="H80" s="55"/>
      <c r="J80" s="126"/>
    </row>
    <row r="81" spans="1:10" ht="12.75" hidden="1">
      <c r="A81" s="7" t="s">
        <v>27</v>
      </c>
      <c r="B81" s="4"/>
      <c r="C81" s="4"/>
      <c r="D81" s="4"/>
      <c r="E81" s="4"/>
      <c r="F81" s="4" t="s">
        <v>188</v>
      </c>
      <c r="G81" s="55"/>
      <c r="H81" s="55"/>
      <c r="J81" s="126"/>
    </row>
    <row r="82" spans="1:10" s="28" customFormat="1" ht="15" customHeight="1" hidden="1">
      <c r="A82" s="87" t="s">
        <v>28</v>
      </c>
      <c r="B82" s="27" t="s">
        <v>170</v>
      </c>
      <c r="C82" s="27" t="s">
        <v>182</v>
      </c>
      <c r="D82" s="27" t="s">
        <v>175</v>
      </c>
      <c r="E82" s="27" t="s">
        <v>29</v>
      </c>
      <c r="F82" s="27"/>
      <c r="G82" s="56"/>
      <c r="H82" s="56"/>
      <c r="J82" s="134"/>
    </row>
    <row r="83" spans="1:10" s="28" customFormat="1" ht="12.75" hidden="1">
      <c r="A83" s="87" t="s">
        <v>30</v>
      </c>
      <c r="B83" s="27" t="s">
        <v>170</v>
      </c>
      <c r="C83" s="27" t="s">
        <v>182</v>
      </c>
      <c r="D83" s="27" t="s">
        <v>175</v>
      </c>
      <c r="E83" s="27" t="s">
        <v>31</v>
      </c>
      <c r="F83" s="27"/>
      <c r="G83" s="56"/>
      <c r="H83" s="56"/>
      <c r="J83" s="134"/>
    </row>
    <row r="84" spans="1:10" s="30" customFormat="1" ht="12.75" hidden="1">
      <c r="A84" s="7" t="s">
        <v>32</v>
      </c>
      <c r="B84" s="29"/>
      <c r="C84" s="29"/>
      <c r="D84" s="29"/>
      <c r="E84" s="29"/>
      <c r="F84" s="17" t="s">
        <v>189</v>
      </c>
      <c r="G84" s="58"/>
      <c r="H84" s="58"/>
      <c r="J84" s="135"/>
    </row>
    <row r="85" spans="1:10" s="18" customFormat="1" ht="12.75" hidden="1">
      <c r="A85" s="7" t="s">
        <v>33</v>
      </c>
      <c r="B85" s="17"/>
      <c r="C85" s="17"/>
      <c r="D85" s="17"/>
      <c r="E85" s="17"/>
      <c r="F85" s="17" t="s">
        <v>191</v>
      </c>
      <c r="G85" s="54"/>
      <c r="H85" s="54"/>
      <c r="J85" s="136"/>
    </row>
    <row r="86" spans="1:10" s="18" customFormat="1" ht="25.5" hidden="1">
      <c r="A86" s="7" t="s">
        <v>34</v>
      </c>
      <c r="B86" s="17"/>
      <c r="C86" s="17"/>
      <c r="D86" s="17"/>
      <c r="E86" s="17"/>
      <c r="F86" s="17" t="s">
        <v>221</v>
      </c>
      <c r="G86" s="54"/>
      <c r="H86" s="54"/>
      <c r="J86" s="136"/>
    </row>
    <row r="87" spans="1:10" s="18" customFormat="1" ht="25.5" hidden="1">
      <c r="A87" s="7" t="s">
        <v>35</v>
      </c>
      <c r="B87" s="17"/>
      <c r="C87" s="17"/>
      <c r="D87" s="17"/>
      <c r="E87" s="17"/>
      <c r="F87" s="17" t="s">
        <v>190</v>
      </c>
      <c r="G87" s="54"/>
      <c r="H87" s="54"/>
      <c r="J87" s="136"/>
    </row>
    <row r="88" spans="1:10" s="18" customFormat="1" ht="51" hidden="1">
      <c r="A88" s="7" t="s">
        <v>36</v>
      </c>
      <c r="B88" s="17"/>
      <c r="C88" s="17"/>
      <c r="D88" s="17"/>
      <c r="E88" s="17"/>
      <c r="F88" s="17" t="s">
        <v>224</v>
      </c>
      <c r="G88" s="54"/>
      <c r="H88" s="54"/>
      <c r="J88" s="136"/>
    </row>
    <row r="89" spans="1:10" s="28" customFormat="1" ht="12.75" hidden="1">
      <c r="A89" s="87" t="s">
        <v>37</v>
      </c>
      <c r="B89" s="27" t="s">
        <v>170</v>
      </c>
      <c r="C89" s="27" t="s">
        <v>182</v>
      </c>
      <c r="D89" s="27" t="s">
        <v>175</v>
      </c>
      <c r="E89" s="27" t="s">
        <v>38</v>
      </c>
      <c r="F89" s="27"/>
      <c r="G89" s="56"/>
      <c r="H89" s="56"/>
      <c r="J89" s="134"/>
    </row>
    <row r="90" spans="1:10" s="21" customFormat="1" ht="38.25" hidden="1">
      <c r="A90" s="11" t="s">
        <v>39</v>
      </c>
      <c r="B90" s="20"/>
      <c r="C90" s="20"/>
      <c r="D90" s="20"/>
      <c r="E90" s="20"/>
      <c r="F90" s="20" t="s">
        <v>183</v>
      </c>
      <c r="G90" s="57"/>
      <c r="H90" s="57"/>
      <c r="J90" s="137"/>
    </row>
    <row r="91" spans="1:10" s="21" customFormat="1" ht="38.25" hidden="1">
      <c r="A91" s="19" t="s">
        <v>40</v>
      </c>
      <c r="B91" s="20"/>
      <c r="C91" s="20"/>
      <c r="D91" s="20"/>
      <c r="E91" s="20"/>
      <c r="F91" s="20" t="s">
        <v>222</v>
      </c>
      <c r="G91" s="57"/>
      <c r="H91" s="57"/>
      <c r="J91" s="137"/>
    </row>
    <row r="92" spans="1:10" s="21" customFormat="1" ht="25.5" customHeight="1" hidden="1">
      <c r="A92" s="12" t="s">
        <v>41</v>
      </c>
      <c r="B92" s="20"/>
      <c r="C92" s="20"/>
      <c r="D92" s="20"/>
      <c r="E92" s="20"/>
      <c r="F92" s="20" t="s">
        <v>192</v>
      </c>
      <c r="G92" s="57"/>
      <c r="H92" s="57"/>
      <c r="J92" s="137"/>
    </row>
    <row r="93" spans="1:10" s="45" customFormat="1" ht="12.75" hidden="1">
      <c r="A93" s="43" t="s">
        <v>42</v>
      </c>
      <c r="B93" s="44" t="s">
        <v>170</v>
      </c>
      <c r="C93" s="44" t="s">
        <v>182</v>
      </c>
      <c r="D93" s="44" t="s">
        <v>175</v>
      </c>
      <c r="E93" s="44" t="s">
        <v>43</v>
      </c>
      <c r="F93" s="44"/>
      <c r="G93" s="61"/>
      <c r="H93" s="61"/>
      <c r="J93" s="133"/>
    </row>
    <row r="94" spans="1:10" s="28" customFormat="1" ht="12.75" hidden="1">
      <c r="A94" s="87" t="s">
        <v>44</v>
      </c>
      <c r="B94" s="27" t="s">
        <v>170</v>
      </c>
      <c r="C94" s="27" t="s">
        <v>182</v>
      </c>
      <c r="D94" s="27" t="s">
        <v>175</v>
      </c>
      <c r="E94" s="27" t="s">
        <v>45</v>
      </c>
      <c r="F94" s="27"/>
      <c r="G94" s="56"/>
      <c r="H94" s="56"/>
      <c r="J94" s="134"/>
    </row>
    <row r="95" spans="1:10" s="21" customFormat="1" ht="12.75" hidden="1">
      <c r="A95" s="6" t="s">
        <v>46</v>
      </c>
      <c r="B95" s="20"/>
      <c r="C95" s="20"/>
      <c r="D95" s="20"/>
      <c r="E95" s="20"/>
      <c r="F95" s="20"/>
      <c r="G95" s="57"/>
      <c r="H95" s="57"/>
      <c r="J95" s="137"/>
    </row>
    <row r="96" spans="1:10" s="45" customFormat="1" ht="12.75" hidden="1">
      <c r="A96" s="43" t="s">
        <v>47</v>
      </c>
      <c r="B96" s="44" t="s">
        <v>170</v>
      </c>
      <c r="C96" s="44" t="s">
        <v>182</v>
      </c>
      <c r="D96" s="44" t="s">
        <v>175</v>
      </c>
      <c r="E96" s="44" t="s">
        <v>48</v>
      </c>
      <c r="F96" s="44"/>
      <c r="G96" s="61"/>
      <c r="H96" s="61"/>
      <c r="J96" s="133"/>
    </row>
    <row r="97" spans="1:10" s="21" customFormat="1" ht="27.75" customHeight="1" hidden="1">
      <c r="A97" s="12" t="s">
        <v>41</v>
      </c>
      <c r="B97" s="20"/>
      <c r="C97" s="20"/>
      <c r="D97" s="20"/>
      <c r="E97" s="20"/>
      <c r="F97" s="20"/>
      <c r="G97" s="57"/>
      <c r="H97" s="57"/>
      <c r="J97" s="137"/>
    </row>
    <row r="98" spans="1:10" s="45" customFormat="1" ht="12.75" hidden="1">
      <c r="A98" s="43" t="s">
        <v>49</v>
      </c>
      <c r="B98" s="44" t="s">
        <v>170</v>
      </c>
      <c r="C98" s="44" t="s">
        <v>182</v>
      </c>
      <c r="D98" s="44" t="s">
        <v>175</v>
      </c>
      <c r="E98" s="44" t="s">
        <v>50</v>
      </c>
      <c r="F98" s="44"/>
      <c r="G98" s="61"/>
      <c r="H98" s="61"/>
      <c r="J98" s="133"/>
    </row>
    <row r="99" spans="1:10" s="28" customFormat="1" ht="12.75" hidden="1">
      <c r="A99" s="87" t="s">
        <v>51</v>
      </c>
      <c r="B99" s="27" t="s">
        <v>170</v>
      </c>
      <c r="C99" s="27" t="s">
        <v>182</v>
      </c>
      <c r="D99" s="27" t="s">
        <v>175</v>
      </c>
      <c r="E99" s="27" t="s">
        <v>52</v>
      </c>
      <c r="F99" s="27"/>
      <c r="G99" s="56"/>
      <c r="H99" s="56"/>
      <c r="J99" s="134"/>
    </row>
    <row r="100" spans="1:10" s="21" customFormat="1" ht="12.75" hidden="1">
      <c r="A100" s="7" t="s">
        <v>53</v>
      </c>
      <c r="B100" s="20"/>
      <c r="C100" s="20"/>
      <c r="D100" s="20"/>
      <c r="E100" s="20"/>
      <c r="F100" s="20" t="s">
        <v>223</v>
      </c>
      <c r="G100" s="57"/>
      <c r="H100" s="57"/>
      <c r="J100" s="137"/>
    </row>
    <row r="101" spans="1:10" s="21" customFormat="1" ht="38.25" customHeight="1" hidden="1">
      <c r="A101" s="7" t="s">
        <v>54</v>
      </c>
      <c r="B101" s="20"/>
      <c r="C101" s="20"/>
      <c r="D101" s="20"/>
      <c r="E101" s="20"/>
      <c r="F101" s="20" t="s">
        <v>194</v>
      </c>
      <c r="G101" s="57"/>
      <c r="H101" s="57"/>
      <c r="J101" s="137"/>
    </row>
    <row r="102" spans="1:10" s="21" customFormat="1" ht="52.5" customHeight="1" hidden="1">
      <c r="A102" s="7" t="s">
        <v>55</v>
      </c>
      <c r="B102" s="20"/>
      <c r="C102" s="20"/>
      <c r="D102" s="20"/>
      <c r="E102" s="20"/>
      <c r="F102" s="20" t="s">
        <v>193</v>
      </c>
      <c r="G102" s="57"/>
      <c r="H102" s="57"/>
      <c r="J102" s="137"/>
    </row>
    <row r="103" spans="1:10" s="28" customFormat="1" ht="14.25" customHeight="1" hidden="1">
      <c r="A103" s="87" t="s">
        <v>56</v>
      </c>
      <c r="B103" s="27" t="s">
        <v>170</v>
      </c>
      <c r="C103" s="27" t="s">
        <v>182</v>
      </c>
      <c r="D103" s="27" t="s">
        <v>175</v>
      </c>
      <c r="E103" s="27" t="s">
        <v>57</v>
      </c>
      <c r="F103" s="27"/>
      <c r="G103" s="56"/>
      <c r="H103" s="56"/>
      <c r="J103" s="134"/>
    </row>
    <row r="104" spans="1:10" s="21" customFormat="1" ht="25.5" hidden="1">
      <c r="A104" s="7" t="s">
        <v>58</v>
      </c>
      <c r="B104" s="20"/>
      <c r="C104" s="20"/>
      <c r="D104" s="20"/>
      <c r="E104" s="20"/>
      <c r="F104" s="20" t="s">
        <v>195</v>
      </c>
      <c r="G104" s="57"/>
      <c r="H104" s="57"/>
      <c r="J104" s="137"/>
    </row>
    <row r="105" spans="1:10" s="21" customFormat="1" ht="12.75" hidden="1">
      <c r="A105" s="7" t="s">
        <v>59</v>
      </c>
      <c r="B105" s="20"/>
      <c r="C105" s="20"/>
      <c r="D105" s="20"/>
      <c r="E105" s="20"/>
      <c r="F105" s="20" t="s">
        <v>196</v>
      </c>
      <c r="G105" s="57"/>
      <c r="H105" s="57"/>
      <c r="J105" s="137"/>
    </row>
    <row r="106" spans="1:10" s="21" customFormat="1" ht="12.75" hidden="1">
      <c r="A106" s="7" t="s">
        <v>60</v>
      </c>
      <c r="B106" s="20"/>
      <c r="C106" s="20"/>
      <c r="D106" s="20"/>
      <c r="E106" s="20"/>
      <c r="F106" s="20" t="s">
        <v>197</v>
      </c>
      <c r="G106" s="57"/>
      <c r="H106" s="57"/>
      <c r="J106" s="137"/>
    </row>
    <row r="107" spans="1:10" s="21" customFormat="1" ht="39" customHeight="1" hidden="1">
      <c r="A107" s="7" t="s">
        <v>61</v>
      </c>
      <c r="B107" s="20"/>
      <c r="C107" s="20"/>
      <c r="D107" s="20"/>
      <c r="E107" s="20"/>
      <c r="F107" s="20" t="s">
        <v>198</v>
      </c>
      <c r="G107" s="57"/>
      <c r="H107" s="57"/>
      <c r="J107" s="137"/>
    </row>
    <row r="108" spans="1:10" s="21" customFormat="1" ht="54.75" customHeight="1" hidden="1">
      <c r="A108" s="47" t="s">
        <v>181</v>
      </c>
      <c r="B108" s="48" t="s">
        <v>145</v>
      </c>
      <c r="C108" s="48" t="s">
        <v>82</v>
      </c>
      <c r="D108" s="48" t="s">
        <v>2</v>
      </c>
      <c r="E108" s="48" t="s">
        <v>2</v>
      </c>
      <c r="F108" s="48"/>
      <c r="G108" s="57"/>
      <c r="H108" s="57"/>
      <c r="J108" s="137"/>
    </row>
    <row r="109" spans="1:10" s="15" customFormat="1" ht="27" customHeight="1" hidden="1">
      <c r="A109" s="79" t="s">
        <v>171</v>
      </c>
      <c r="B109" s="80" t="s">
        <v>145</v>
      </c>
      <c r="C109" s="80" t="s">
        <v>82</v>
      </c>
      <c r="D109" s="80" t="s">
        <v>2</v>
      </c>
      <c r="E109" s="80" t="s">
        <v>2</v>
      </c>
      <c r="F109" s="48"/>
      <c r="G109" s="53"/>
      <c r="H109" s="53"/>
      <c r="J109" s="132"/>
    </row>
    <row r="110" spans="1:10" s="45" customFormat="1" ht="27" customHeight="1" hidden="1">
      <c r="A110" s="81" t="s">
        <v>177</v>
      </c>
      <c r="B110" s="82" t="s">
        <v>145</v>
      </c>
      <c r="C110" s="82" t="s">
        <v>82</v>
      </c>
      <c r="D110" s="82" t="s">
        <v>178</v>
      </c>
      <c r="E110" s="82" t="s">
        <v>2</v>
      </c>
      <c r="F110" s="82"/>
      <c r="G110" s="61"/>
      <c r="H110" s="61"/>
      <c r="J110" s="133"/>
    </row>
    <row r="111" spans="1:10" s="72" customFormat="1" ht="12.75" customHeight="1" hidden="1">
      <c r="A111" s="10" t="s">
        <v>4</v>
      </c>
      <c r="B111" s="14" t="s">
        <v>145</v>
      </c>
      <c r="C111" s="14" t="s">
        <v>82</v>
      </c>
      <c r="D111" s="14" t="s">
        <v>178</v>
      </c>
      <c r="E111" s="14" t="s">
        <v>5</v>
      </c>
      <c r="F111" s="70"/>
      <c r="G111" s="71"/>
      <c r="H111" s="71"/>
      <c r="J111" s="129"/>
    </row>
    <row r="112" spans="1:10" s="28" customFormat="1" ht="12.75" hidden="1">
      <c r="A112" s="87" t="s">
        <v>6</v>
      </c>
      <c r="B112" s="27" t="s">
        <v>145</v>
      </c>
      <c r="C112" s="27" t="s">
        <v>82</v>
      </c>
      <c r="D112" s="27" t="s">
        <v>178</v>
      </c>
      <c r="E112" s="27" t="s">
        <v>7</v>
      </c>
      <c r="F112" s="27"/>
      <c r="G112" s="56"/>
      <c r="H112" s="56"/>
      <c r="J112" s="134"/>
    </row>
    <row r="113" spans="1:10" s="28" customFormat="1" ht="12.75" hidden="1">
      <c r="A113" s="87" t="s">
        <v>13</v>
      </c>
      <c r="B113" s="27" t="s">
        <v>145</v>
      </c>
      <c r="C113" s="27" t="s">
        <v>82</v>
      </c>
      <c r="D113" s="27" t="s">
        <v>178</v>
      </c>
      <c r="E113" s="27" t="s">
        <v>14</v>
      </c>
      <c r="F113" s="27"/>
      <c r="G113" s="56"/>
      <c r="H113" s="56"/>
      <c r="J113" s="134"/>
    </row>
    <row r="114" spans="1:10" s="30" customFormat="1" ht="25.5" hidden="1">
      <c r="A114" s="81" t="s">
        <v>179</v>
      </c>
      <c r="B114" s="82" t="s">
        <v>145</v>
      </c>
      <c r="C114" s="82" t="s">
        <v>82</v>
      </c>
      <c r="D114" s="82" t="s">
        <v>180</v>
      </c>
      <c r="E114" s="82" t="s">
        <v>2</v>
      </c>
      <c r="F114" s="82"/>
      <c r="G114" s="58"/>
      <c r="H114" s="58"/>
      <c r="J114" s="135"/>
    </row>
    <row r="115" spans="1:10" s="84" customFormat="1" ht="12.75" customHeight="1" hidden="1">
      <c r="A115" s="10" t="s">
        <v>4</v>
      </c>
      <c r="B115" s="14" t="s">
        <v>145</v>
      </c>
      <c r="C115" s="14" t="s">
        <v>82</v>
      </c>
      <c r="D115" s="14" t="s">
        <v>180</v>
      </c>
      <c r="E115" s="14" t="s">
        <v>5</v>
      </c>
      <c r="F115" s="70"/>
      <c r="G115" s="85"/>
      <c r="H115" s="85"/>
      <c r="J115" s="138"/>
    </row>
    <row r="116" spans="1:10" s="92" customFormat="1" ht="12.75" hidden="1">
      <c r="A116" s="87" t="s">
        <v>6</v>
      </c>
      <c r="B116" s="27" t="s">
        <v>145</v>
      </c>
      <c r="C116" s="27" t="s">
        <v>82</v>
      </c>
      <c r="D116" s="27" t="s">
        <v>180</v>
      </c>
      <c r="E116" s="27" t="s">
        <v>7</v>
      </c>
      <c r="F116" s="88"/>
      <c r="G116" s="90"/>
      <c r="H116" s="90"/>
      <c r="J116" s="130"/>
    </row>
    <row r="117" spans="1:10" s="92" customFormat="1" ht="12.75" hidden="1">
      <c r="A117" s="87" t="s">
        <v>13</v>
      </c>
      <c r="B117" s="27" t="s">
        <v>145</v>
      </c>
      <c r="C117" s="27" t="s">
        <v>82</v>
      </c>
      <c r="D117" s="27" t="s">
        <v>180</v>
      </c>
      <c r="E117" s="27" t="s">
        <v>14</v>
      </c>
      <c r="F117" s="88"/>
      <c r="G117" s="90"/>
      <c r="H117" s="90"/>
      <c r="J117" s="130"/>
    </row>
    <row r="118" spans="1:10" s="84" customFormat="1" ht="12.75" hidden="1">
      <c r="A118" s="47" t="s">
        <v>174</v>
      </c>
      <c r="B118" s="48" t="s">
        <v>145</v>
      </c>
      <c r="C118" s="48" t="s">
        <v>82</v>
      </c>
      <c r="D118" s="48" t="s">
        <v>175</v>
      </c>
      <c r="E118" s="48" t="s">
        <v>2</v>
      </c>
      <c r="F118" s="82"/>
      <c r="G118" s="85"/>
      <c r="H118" s="85"/>
      <c r="J118" s="138"/>
    </row>
    <row r="119" spans="1:10" s="45" customFormat="1" ht="12.75" customHeight="1" hidden="1">
      <c r="A119" s="43" t="s">
        <v>4</v>
      </c>
      <c r="B119" s="14" t="s">
        <v>145</v>
      </c>
      <c r="C119" s="14" t="s">
        <v>82</v>
      </c>
      <c r="D119" s="14" t="s">
        <v>175</v>
      </c>
      <c r="E119" s="44" t="s">
        <v>5</v>
      </c>
      <c r="F119" s="44"/>
      <c r="G119" s="61"/>
      <c r="H119" s="61"/>
      <c r="J119" s="133"/>
    </row>
    <row r="120" spans="1:10" s="28" customFormat="1" ht="12.75" hidden="1">
      <c r="A120" s="87" t="s">
        <v>6</v>
      </c>
      <c r="B120" s="27" t="s">
        <v>145</v>
      </c>
      <c r="C120" s="27" t="s">
        <v>82</v>
      </c>
      <c r="D120" s="27" t="s">
        <v>175</v>
      </c>
      <c r="E120" s="27" t="s">
        <v>7</v>
      </c>
      <c r="F120" s="27"/>
      <c r="G120" s="56"/>
      <c r="H120" s="56"/>
      <c r="J120" s="134"/>
    </row>
    <row r="121" spans="1:10" s="28" customFormat="1" ht="12.75" hidden="1">
      <c r="A121" s="87" t="s">
        <v>8</v>
      </c>
      <c r="B121" s="27" t="s">
        <v>145</v>
      </c>
      <c r="C121" s="27" t="s">
        <v>82</v>
      </c>
      <c r="D121" s="27" t="s">
        <v>175</v>
      </c>
      <c r="E121" s="27" t="s">
        <v>9</v>
      </c>
      <c r="F121" s="27"/>
      <c r="G121" s="56"/>
      <c r="H121" s="56"/>
      <c r="J121" s="134"/>
    </row>
    <row r="122" spans="1:10" ht="25.5" hidden="1">
      <c r="A122" s="11" t="s">
        <v>10</v>
      </c>
      <c r="B122" s="4"/>
      <c r="C122" s="4"/>
      <c r="D122" s="4"/>
      <c r="E122" s="4"/>
      <c r="F122" s="4" t="s">
        <v>183</v>
      </c>
      <c r="G122" s="55"/>
      <c r="H122" s="55"/>
      <c r="J122" s="126"/>
    </row>
    <row r="123" spans="1:10" ht="12.75" customHeight="1" hidden="1">
      <c r="A123" s="12" t="s">
        <v>11</v>
      </c>
      <c r="B123" s="4"/>
      <c r="C123" s="4"/>
      <c r="D123" s="4"/>
      <c r="E123" s="4"/>
      <c r="F123" s="4" t="s">
        <v>200</v>
      </c>
      <c r="G123" s="55"/>
      <c r="H123" s="55"/>
      <c r="J123" s="126"/>
    </row>
    <row r="124" spans="1:10" ht="26.25" customHeight="1" hidden="1">
      <c r="A124" s="6" t="s">
        <v>12</v>
      </c>
      <c r="B124" s="4"/>
      <c r="C124" s="4"/>
      <c r="D124" s="4"/>
      <c r="E124" s="4"/>
      <c r="F124" s="4" t="s">
        <v>184</v>
      </c>
      <c r="G124" s="55"/>
      <c r="H124" s="55"/>
      <c r="J124" s="126"/>
    </row>
    <row r="125" spans="1:10" s="28" customFormat="1" ht="12.75" hidden="1">
      <c r="A125" s="87" t="s">
        <v>13</v>
      </c>
      <c r="B125" s="27" t="s">
        <v>145</v>
      </c>
      <c r="C125" s="27" t="s">
        <v>82</v>
      </c>
      <c r="D125" s="27" t="s">
        <v>175</v>
      </c>
      <c r="E125" s="27" t="s">
        <v>14</v>
      </c>
      <c r="F125" s="27"/>
      <c r="G125" s="56"/>
      <c r="H125" s="56"/>
      <c r="J125" s="134"/>
    </row>
    <row r="126" spans="1:10" s="45" customFormat="1" ht="12.75" hidden="1">
      <c r="A126" s="43" t="s">
        <v>15</v>
      </c>
      <c r="B126" s="44" t="s">
        <v>145</v>
      </c>
      <c r="C126" s="44" t="s">
        <v>82</v>
      </c>
      <c r="D126" s="44" t="s">
        <v>175</v>
      </c>
      <c r="E126" s="44" t="s">
        <v>16</v>
      </c>
      <c r="F126" s="44"/>
      <c r="G126" s="61"/>
      <c r="H126" s="61"/>
      <c r="J126" s="133"/>
    </row>
    <row r="127" spans="1:10" s="28" customFormat="1" ht="12.75" hidden="1">
      <c r="A127" s="87" t="s">
        <v>17</v>
      </c>
      <c r="B127" s="27" t="s">
        <v>145</v>
      </c>
      <c r="C127" s="27" t="s">
        <v>82</v>
      </c>
      <c r="D127" s="27" t="s">
        <v>175</v>
      </c>
      <c r="E127" s="27" t="s">
        <v>18</v>
      </c>
      <c r="F127" s="27"/>
      <c r="G127" s="56"/>
      <c r="H127" s="56"/>
      <c r="J127" s="134"/>
    </row>
    <row r="128" spans="1:10" s="28" customFormat="1" ht="12.75" hidden="1">
      <c r="A128" s="87" t="s">
        <v>21</v>
      </c>
      <c r="B128" s="27" t="s">
        <v>145</v>
      </c>
      <c r="C128" s="27" t="s">
        <v>82</v>
      </c>
      <c r="D128" s="27" t="s">
        <v>175</v>
      </c>
      <c r="E128" s="27" t="s">
        <v>19</v>
      </c>
      <c r="F128" s="27"/>
      <c r="G128" s="56"/>
      <c r="H128" s="56"/>
      <c r="J128" s="134"/>
    </row>
    <row r="129" spans="1:10" ht="25.5" hidden="1">
      <c r="A129" s="11" t="s">
        <v>20</v>
      </c>
      <c r="B129" s="4"/>
      <c r="C129" s="4"/>
      <c r="D129" s="4"/>
      <c r="E129" s="4"/>
      <c r="F129" s="4" t="s">
        <v>183</v>
      </c>
      <c r="G129" s="55"/>
      <c r="H129" s="55"/>
      <c r="J129" s="126"/>
    </row>
    <row r="130" spans="1:10" ht="38.25" hidden="1">
      <c r="A130" s="8" t="s">
        <v>22</v>
      </c>
      <c r="B130" s="4"/>
      <c r="C130" s="4"/>
      <c r="D130" s="4"/>
      <c r="E130" s="4"/>
      <c r="F130" s="4" t="s">
        <v>185</v>
      </c>
      <c r="G130" s="55"/>
      <c r="H130" s="55"/>
      <c r="J130" s="126"/>
    </row>
    <row r="131" spans="1:10" s="28" customFormat="1" ht="12.75" hidden="1">
      <c r="A131" s="87" t="s">
        <v>23</v>
      </c>
      <c r="B131" s="27" t="s">
        <v>145</v>
      </c>
      <c r="C131" s="27" t="s">
        <v>82</v>
      </c>
      <c r="D131" s="27" t="s">
        <v>175</v>
      </c>
      <c r="E131" s="27" t="s">
        <v>24</v>
      </c>
      <c r="F131" s="27"/>
      <c r="G131" s="56"/>
      <c r="H131" s="56"/>
      <c r="J131" s="134"/>
    </row>
    <row r="132" spans="1:10" ht="12.75" customHeight="1" hidden="1">
      <c r="A132" s="7" t="s">
        <v>25</v>
      </c>
      <c r="B132" s="4"/>
      <c r="C132" s="4"/>
      <c r="D132" s="4"/>
      <c r="E132" s="4"/>
      <c r="F132" s="4" t="s">
        <v>186</v>
      </c>
      <c r="G132" s="55"/>
      <c r="H132" s="55"/>
      <c r="J132" s="126"/>
    </row>
    <row r="133" spans="1:10" ht="12.75" customHeight="1" hidden="1">
      <c r="A133" s="7" t="s">
        <v>26</v>
      </c>
      <c r="B133" s="4"/>
      <c r="C133" s="4"/>
      <c r="D133" s="4"/>
      <c r="E133" s="4"/>
      <c r="F133" s="4" t="s">
        <v>187</v>
      </c>
      <c r="G133" s="55"/>
      <c r="H133" s="55"/>
      <c r="J133" s="126"/>
    </row>
    <row r="134" spans="1:10" ht="12.75" hidden="1">
      <c r="A134" s="7" t="s">
        <v>27</v>
      </c>
      <c r="B134" s="4"/>
      <c r="C134" s="4"/>
      <c r="D134" s="4"/>
      <c r="E134" s="4"/>
      <c r="F134" s="4" t="s">
        <v>188</v>
      </c>
      <c r="G134" s="55"/>
      <c r="H134" s="55"/>
      <c r="J134" s="126"/>
    </row>
    <row r="135" spans="1:10" s="28" customFormat="1" ht="15" customHeight="1" hidden="1">
      <c r="A135" s="87" t="s">
        <v>28</v>
      </c>
      <c r="B135" s="27" t="s">
        <v>145</v>
      </c>
      <c r="C135" s="27" t="s">
        <v>82</v>
      </c>
      <c r="D135" s="27" t="s">
        <v>175</v>
      </c>
      <c r="E135" s="27" t="s">
        <v>29</v>
      </c>
      <c r="F135" s="27"/>
      <c r="G135" s="56"/>
      <c r="H135" s="56"/>
      <c r="J135" s="134"/>
    </row>
    <row r="136" spans="1:10" s="28" customFormat="1" ht="12.75" hidden="1">
      <c r="A136" s="87" t="s">
        <v>30</v>
      </c>
      <c r="B136" s="27" t="s">
        <v>145</v>
      </c>
      <c r="C136" s="27" t="s">
        <v>82</v>
      </c>
      <c r="D136" s="27" t="s">
        <v>175</v>
      </c>
      <c r="E136" s="27" t="s">
        <v>31</v>
      </c>
      <c r="F136" s="27"/>
      <c r="G136" s="56"/>
      <c r="H136" s="56"/>
      <c r="J136" s="134"/>
    </row>
    <row r="137" spans="1:10" s="30" customFormat="1" ht="12.75" hidden="1">
      <c r="A137" s="7" t="s">
        <v>32</v>
      </c>
      <c r="B137" s="29"/>
      <c r="C137" s="29"/>
      <c r="D137" s="29"/>
      <c r="E137" s="29"/>
      <c r="F137" s="17" t="s">
        <v>189</v>
      </c>
      <c r="G137" s="58"/>
      <c r="H137" s="58"/>
      <c r="J137" s="135"/>
    </row>
    <row r="138" spans="1:10" s="18" customFormat="1" ht="12.75" hidden="1">
      <c r="A138" s="7" t="s">
        <v>33</v>
      </c>
      <c r="B138" s="17"/>
      <c r="C138" s="17"/>
      <c r="D138" s="17"/>
      <c r="E138" s="17"/>
      <c r="F138" s="17" t="s">
        <v>191</v>
      </c>
      <c r="G138" s="54"/>
      <c r="H138" s="54"/>
      <c r="J138" s="136"/>
    </row>
    <row r="139" spans="1:10" s="18" customFormat="1" ht="25.5" hidden="1">
      <c r="A139" s="7" t="s">
        <v>34</v>
      </c>
      <c r="B139" s="17"/>
      <c r="C139" s="17"/>
      <c r="D139" s="17"/>
      <c r="E139" s="17"/>
      <c r="F139" s="17" t="s">
        <v>221</v>
      </c>
      <c r="G139" s="54"/>
      <c r="H139" s="54"/>
      <c r="J139" s="136"/>
    </row>
    <row r="140" spans="1:10" s="18" customFormat="1" ht="25.5" hidden="1">
      <c r="A140" s="7" t="s">
        <v>35</v>
      </c>
      <c r="B140" s="17"/>
      <c r="C140" s="17"/>
      <c r="D140" s="17"/>
      <c r="E140" s="17"/>
      <c r="F140" s="17" t="s">
        <v>190</v>
      </c>
      <c r="G140" s="54"/>
      <c r="H140" s="54"/>
      <c r="J140" s="136"/>
    </row>
    <row r="141" spans="1:10" s="18" customFormat="1" ht="51" hidden="1">
      <c r="A141" s="7" t="s">
        <v>36</v>
      </c>
      <c r="B141" s="17"/>
      <c r="C141" s="17"/>
      <c r="D141" s="17"/>
      <c r="E141" s="17"/>
      <c r="F141" s="17" t="s">
        <v>224</v>
      </c>
      <c r="G141" s="54"/>
      <c r="H141" s="54"/>
      <c r="J141" s="136"/>
    </row>
    <row r="142" spans="1:10" s="28" customFormat="1" ht="12.75" hidden="1">
      <c r="A142" s="87" t="s">
        <v>37</v>
      </c>
      <c r="B142" s="27" t="s">
        <v>145</v>
      </c>
      <c r="C142" s="27" t="s">
        <v>82</v>
      </c>
      <c r="D142" s="27" t="s">
        <v>175</v>
      </c>
      <c r="E142" s="27" t="s">
        <v>38</v>
      </c>
      <c r="F142" s="27"/>
      <c r="G142" s="56"/>
      <c r="H142" s="56"/>
      <c r="J142" s="134"/>
    </row>
    <row r="143" spans="1:10" s="21" customFormat="1" ht="38.25" hidden="1">
      <c r="A143" s="11" t="s">
        <v>39</v>
      </c>
      <c r="B143" s="20"/>
      <c r="C143" s="20"/>
      <c r="D143" s="20"/>
      <c r="E143" s="20"/>
      <c r="F143" s="20" t="s">
        <v>183</v>
      </c>
      <c r="G143" s="57"/>
      <c r="H143" s="57"/>
      <c r="J143" s="137"/>
    </row>
    <row r="144" spans="1:10" s="21" customFormat="1" ht="38.25" hidden="1">
      <c r="A144" s="19" t="s">
        <v>40</v>
      </c>
      <c r="B144" s="20"/>
      <c r="C144" s="20"/>
      <c r="D144" s="20"/>
      <c r="E144" s="20"/>
      <c r="F144" s="20" t="s">
        <v>222</v>
      </c>
      <c r="G144" s="57"/>
      <c r="H144" s="57"/>
      <c r="J144" s="137"/>
    </row>
    <row r="145" spans="1:10" s="21" customFormat="1" ht="25.5" customHeight="1" hidden="1">
      <c r="A145" s="12" t="s">
        <v>41</v>
      </c>
      <c r="B145" s="20"/>
      <c r="C145" s="20"/>
      <c r="D145" s="20"/>
      <c r="E145" s="20"/>
      <c r="F145" s="20" t="s">
        <v>192</v>
      </c>
      <c r="G145" s="57"/>
      <c r="H145" s="57"/>
      <c r="J145" s="137"/>
    </row>
    <row r="146" spans="1:10" s="45" customFormat="1" ht="12.75" hidden="1">
      <c r="A146" s="43" t="s">
        <v>42</v>
      </c>
      <c r="B146" s="44" t="s">
        <v>145</v>
      </c>
      <c r="C146" s="44" t="s">
        <v>82</v>
      </c>
      <c r="D146" s="44" t="s">
        <v>175</v>
      </c>
      <c r="E146" s="44" t="s">
        <v>43</v>
      </c>
      <c r="F146" s="44"/>
      <c r="G146" s="61"/>
      <c r="H146" s="61"/>
      <c r="J146" s="133"/>
    </row>
    <row r="147" spans="1:10" s="28" customFormat="1" ht="12.75" hidden="1">
      <c r="A147" s="87" t="s">
        <v>44</v>
      </c>
      <c r="B147" s="27" t="s">
        <v>145</v>
      </c>
      <c r="C147" s="27" t="s">
        <v>82</v>
      </c>
      <c r="D147" s="27" t="s">
        <v>175</v>
      </c>
      <c r="E147" s="27" t="s">
        <v>45</v>
      </c>
      <c r="F147" s="27"/>
      <c r="G147" s="56"/>
      <c r="H147" s="56"/>
      <c r="J147" s="134"/>
    </row>
    <row r="148" spans="1:10" s="21" customFormat="1" ht="12.75" hidden="1">
      <c r="A148" s="6" t="s">
        <v>46</v>
      </c>
      <c r="B148" s="20"/>
      <c r="C148" s="20"/>
      <c r="D148" s="20"/>
      <c r="E148" s="20"/>
      <c r="F148" s="20"/>
      <c r="G148" s="57"/>
      <c r="H148" s="57"/>
      <c r="J148" s="137"/>
    </row>
    <row r="149" spans="1:10" s="45" customFormat="1" ht="12.75" hidden="1">
      <c r="A149" s="43" t="s">
        <v>47</v>
      </c>
      <c r="B149" s="44" t="s">
        <v>145</v>
      </c>
      <c r="C149" s="44" t="s">
        <v>82</v>
      </c>
      <c r="D149" s="44" t="s">
        <v>175</v>
      </c>
      <c r="E149" s="44" t="s">
        <v>48</v>
      </c>
      <c r="F149" s="44"/>
      <c r="G149" s="61"/>
      <c r="H149" s="61"/>
      <c r="J149" s="133"/>
    </row>
    <row r="150" spans="1:10" s="21" customFormat="1" ht="27.75" customHeight="1" hidden="1">
      <c r="A150" s="12" t="s">
        <v>41</v>
      </c>
      <c r="B150" s="20"/>
      <c r="C150" s="20"/>
      <c r="D150" s="20"/>
      <c r="E150" s="20"/>
      <c r="F150" s="20"/>
      <c r="G150" s="57"/>
      <c r="H150" s="57"/>
      <c r="J150" s="137"/>
    </row>
    <row r="151" spans="1:10" s="45" customFormat="1" ht="12.75" hidden="1">
      <c r="A151" s="43" t="s">
        <v>49</v>
      </c>
      <c r="B151" s="44" t="s">
        <v>145</v>
      </c>
      <c r="C151" s="44" t="s">
        <v>82</v>
      </c>
      <c r="D151" s="44" t="s">
        <v>175</v>
      </c>
      <c r="E151" s="44" t="s">
        <v>50</v>
      </c>
      <c r="F151" s="44"/>
      <c r="G151" s="61"/>
      <c r="H151" s="61"/>
      <c r="J151" s="133"/>
    </row>
    <row r="152" spans="1:10" s="28" customFormat="1" ht="12.75" hidden="1">
      <c r="A152" s="87" t="s">
        <v>51</v>
      </c>
      <c r="B152" s="27" t="s">
        <v>145</v>
      </c>
      <c r="C152" s="27" t="s">
        <v>82</v>
      </c>
      <c r="D152" s="27" t="s">
        <v>175</v>
      </c>
      <c r="E152" s="27" t="s">
        <v>52</v>
      </c>
      <c r="F152" s="27"/>
      <c r="G152" s="56"/>
      <c r="H152" s="56"/>
      <c r="J152" s="134"/>
    </row>
    <row r="153" spans="1:10" s="21" customFormat="1" ht="12.75" hidden="1">
      <c r="A153" s="7" t="s">
        <v>53</v>
      </c>
      <c r="B153" s="20"/>
      <c r="C153" s="20"/>
      <c r="D153" s="20"/>
      <c r="E153" s="20"/>
      <c r="F153" s="20" t="s">
        <v>223</v>
      </c>
      <c r="G153" s="57"/>
      <c r="H153" s="57"/>
      <c r="J153" s="137"/>
    </row>
    <row r="154" spans="1:10" s="21" customFormat="1" ht="38.25" customHeight="1" hidden="1">
      <c r="A154" s="7" t="s">
        <v>54</v>
      </c>
      <c r="B154" s="20"/>
      <c r="C154" s="20"/>
      <c r="D154" s="20"/>
      <c r="E154" s="20"/>
      <c r="F154" s="20" t="s">
        <v>194</v>
      </c>
      <c r="G154" s="57"/>
      <c r="H154" s="57"/>
      <c r="J154" s="137"/>
    </row>
    <row r="155" spans="1:10" s="21" customFormat="1" ht="53.25" customHeight="1" hidden="1">
      <c r="A155" s="7" t="s">
        <v>55</v>
      </c>
      <c r="B155" s="20"/>
      <c r="C155" s="20"/>
      <c r="D155" s="20"/>
      <c r="E155" s="20"/>
      <c r="F155" s="20" t="s">
        <v>193</v>
      </c>
      <c r="G155" s="57"/>
      <c r="H155" s="57"/>
      <c r="J155" s="137"/>
    </row>
    <row r="156" spans="1:10" s="28" customFormat="1" ht="16.5" customHeight="1" hidden="1">
      <c r="A156" s="87" t="s">
        <v>56</v>
      </c>
      <c r="B156" s="27" t="s">
        <v>145</v>
      </c>
      <c r="C156" s="27" t="s">
        <v>82</v>
      </c>
      <c r="D156" s="27" t="s">
        <v>175</v>
      </c>
      <c r="E156" s="27" t="s">
        <v>57</v>
      </c>
      <c r="F156" s="27"/>
      <c r="G156" s="56"/>
      <c r="H156" s="56"/>
      <c r="J156" s="134"/>
    </row>
    <row r="157" spans="1:10" s="21" customFormat="1" ht="25.5" hidden="1">
      <c r="A157" s="7" t="s">
        <v>58</v>
      </c>
      <c r="B157" s="20"/>
      <c r="C157" s="20"/>
      <c r="D157" s="20"/>
      <c r="E157" s="20"/>
      <c r="F157" s="20" t="s">
        <v>195</v>
      </c>
      <c r="G157" s="57"/>
      <c r="H157" s="57"/>
      <c r="J157" s="137"/>
    </row>
    <row r="158" spans="1:10" s="21" customFormat="1" ht="12.75" hidden="1">
      <c r="A158" s="7" t="s">
        <v>59</v>
      </c>
      <c r="B158" s="20"/>
      <c r="C158" s="20"/>
      <c r="D158" s="20"/>
      <c r="E158" s="20"/>
      <c r="F158" s="20" t="s">
        <v>196</v>
      </c>
      <c r="G158" s="57"/>
      <c r="H158" s="57"/>
      <c r="J158" s="137"/>
    </row>
    <row r="159" spans="1:10" s="21" customFormat="1" ht="12.75" hidden="1">
      <c r="A159" s="7" t="s">
        <v>60</v>
      </c>
      <c r="B159" s="20"/>
      <c r="C159" s="20"/>
      <c r="D159" s="20"/>
      <c r="E159" s="20"/>
      <c r="F159" s="20" t="s">
        <v>197</v>
      </c>
      <c r="G159" s="57"/>
      <c r="H159" s="57"/>
      <c r="J159" s="137"/>
    </row>
    <row r="160" spans="1:10" s="21" customFormat="1" ht="39" customHeight="1" hidden="1">
      <c r="A160" s="7" t="s">
        <v>61</v>
      </c>
      <c r="B160" s="20"/>
      <c r="C160" s="20"/>
      <c r="D160" s="20"/>
      <c r="E160" s="20"/>
      <c r="F160" s="20" t="s">
        <v>198</v>
      </c>
      <c r="G160" s="57"/>
      <c r="H160" s="57"/>
      <c r="J160" s="137"/>
    </row>
    <row r="161" spans="1:10" s="21" customFormat="1" ht="22.5" customHeight="1">
      <c r="A161" s="11" t="s">
        <v>10</v>
      </c>
      <c r="B161" s="20"/>
      <c r="C161" s="20"/>
      <c r="D161" s="20"/>
      <c r="E161" s="20"/>
      <c r="F161" s="20" t="s">
        <v>183</v>
      </c>
      <c r="G161" s="57">
        <v>6630</v>
      </c>
      <c r="H161" s="57"/>
      <c r="J161" s="137"/>
    </row>
    <row r="162" spans="1:10" s="21" customFormat="1" ht="22.5" customHeight="1">
      <c r="A162" s="12" t="s">
        <v>11</v>
      </c>
      <c r="B162" s="20"/>
      <c r="C162" s="20"/>
      <c r="D162" s="20"/>
      <c r="E162" s="20"/>
      <c r="F162" s="20" t="s">
        <v>200</v>
      </c>
      <c r="G162" s="57"/>
      <c r="H162" s="57"/>
      <c r="J162" s="137"/>
    </row>
    <row r="163" spans="1:10" s="21" customFormat="1" ht="24.75" customHeight="1">
      <c r="A163" s="6" t="s">
        <v>12</v>
      </c>
      <c r="B163" s="20"/>
      <c r="C163" s="20"/>
      <c r="D163" s="20"/>
      <c r="E163" s="20"/>
      <c r="F163" s="20" t="s">
        <v>184</v>
      </c>
      <c r="G163" s="57">
        <v>45000</v>
      </c>
      <c r="H163" s="57"/>
      <c r="J163" s="137"/>
    </row>
    <row r="164" spans="1:10" s="21" customFormat="1" ht="19.5" customHeight="1">
      <c r="A164" s="87" t="s">
        <v>13</v>
      </c>
      <c r="B164" s="20" t="s">
        <v>145</v>
      </c>
      <c r="C164" s="20" t="s">
        <v>232</v>
      </c>
      <c r="D164" s="20" t="s">
        <v>175</v>
      </c>
      <c r="E164" s="4" t="s">
        <v>14</v>
      </c>
      <c r="F164" s="20"/>
      <c r="G164" s="57">
        <f>G14*26.2%</f>
        <v>0</v>
      </c>
      <c r="H164" s="57"/>
      <c r="J164" s="137"/>
    </row>
    <row r="165" spans="1:10" s="21" customFormat="1" ht="18.75" customHeight="1">
      <c r="A165" s="43" t="s">
        <v>15</v>
      </c>
      <c r="B165" s="14" t="s">
        <v>145</v>
      </c>
      <c r="C165" s="14" t="s">
        <v>232</v>
      </c>
      <c r="D165" s="14" t="s">
        <v>175</v>
      </c>
      <c r="E165" s="14" t="s">
        <v>16</v>
      </c>
      <c r="F165" s="20"/>
      <c r="G165" s="53">
        <f>G166+G167+G170+G174+G175+G181</f>
        <v>154000</v>
      </c>
      <c r="H165" s="57"/>
      <c r="J165" s="137"/>
    </row>
    <row r="166" spans="1:10" s="21" customFormat="1" ht="20.25" customHeight="1">
      <c r="A166" s="87" t="s">
        <v>17</v>
      </c>
      <c r="B166" s="20" t="s">
        <v>145</v>
      </c>
      <c r="C166" s="20" t="s">
        <v>232</v>
      </c>
      <c r="D166" s="20" t="s">
        <v>175</v>
      </c>
      <c r="E166" s="20" t="s">
        <v>18</v>
      </c>
      <c r="F166" s="20"/>
      <c r="G166" s="57"/>
      <c r="H166" s="57"/>
      <c r="J166" s="137"/>
    </row>
    <row r="167" spans="1:10" s="21" customFormat="1" ht="21" customHeight="1">
      <c r="A167" s="87" t="s">
        <v>21</v>
      </c>
      <c r="B167" s="20" t="s">
        <v>145</v>
      </c>
      <c r="C167" s="20" t="s">
        <v>232</v>
      </c>
      <c r="D167" s="20" t="s">
        <v>175</v>
      </c>
      <c r="E167" s="20" t="s">
        <v>19</v>
      </c>
      <c r="F167" s="20"/>
      <c r="G167" s="57">
        <f>G168+G169</f>
        <v>67000</v>
      </c>
      <c r="H167" s="57"/>
      <c r="J167" s="137"/>
    </row>
    <row r="168" spans="1:10" s="21" customFormat="1" ht="25.5" customHeight="1">
      <c r="A168" s="11" t="s">
        <v>20</v>
      </c>
      <c r="B168" s="20"/>
      <c r="C168" s="20"/>
      <c r="D168" s="20"/>
      <c r="E168" s="20"/>
      <c r="F168" s="20" t="s">
        <v>183</v>
      </c>
      <c r="G168" s="57">
        <v>67000</v>
      </c>
      <c r="H168" s="57"/>
      <c r="J168" s="137"/>
    </row>
    <row r="169" spans="1:10" s="21" customFormat="1" ht="23.25" customHeight="1">
      <c r="A169" s="8" t="s">
        <v>22</v>
      </c>
      <c r="B169" s="20"/>
      <c r="C169" s="20"/>
      <c r="D169" s="20"/>
      <c r="E169" s="20"/>
      <c r="F169" s="20" t="s">
        <v>185</v>
      </c>
      <c r="G169" s="57"/>
      <c r="H169" s="57"/>
      <c r="J169" s="137"/>
    </row>
    <row r="170" spans="1:10" s="21" customFormat="1" ht="18.75" customHeight="1">
      <c r="A170" s="87" t="s">
        <v>23</v>
      </c>
      <c r="B170" s="20" t="s">
        <v>145</v>
      </c>
      <c r="C170" s="20" t="s">
        <v>232</v>
      </c>
      <c r="D170" s="20" t="s">
        <v>175</v>
      </c>
      <c r="E170" s="20" t="s">
        <v>24</v>
      </c>
      <c r="F170" s="20"/>
      <c r="G170" s="57"/>
      <c r="H170" s="57"/>
      <c r="J170" s="137"/>
    </row>
    <row r="171" spans="1:10" s="21" customFormat="1" ht="24.75" customHeight="1">
      <c r="A171" s="7" t="s">
        <v>25</v>
      </c>
      <c r="B171" s="20"/>
      <c r="C171" s="20"/>
      <c r="D171" s="20"/>
      <c r="E171" s="20"/>
      <c r="F171" s="20" t="s">
        <v>186</v>
      </c>
      <c r="G171" s="57"/>
      <c r="H171" s="57"/>
      <c r="J171" s="137"/>
    </row>
    <row r="172" spans="1:10" s="21" customFormat="1" ht="24.75" customHeight="1">
      <c r="A172" s="7" t="s">
        <v>26</v>
      </c>
      <c r="B172" s="20"/>
      <c r="C172" s="20"/>
      <c r="D172" s="20"/>
      <c r="E172" s="20"/>
      <c r="F172" s="20" t="s">
        <v>187</v>
      </c>
      <c r="G172" s="57"/>
      <c r="H172" s="57"/>
      <c r="J172" s="137"/>
    </row>
    <row r="173" spans="1:10" s="21" customFormat="1" ht="20.25" customHeight="1">
      <c r="A173" s="7" t="s">
        <v>27</v>
      </c>
      <c r="B173" s="20"/>
      <c r="C173" s="20"/>
      <c r="D173" s="20"/>
      <c r="E173" s="20"/>
      <c r="F173" s="20" t="s">
        <v>188</v>
      </c>
      <c r="G173" s="57"/>
      <c r="H173" s="57"/>
      <c r="J173" s="137"/>
    </row>
    <row r="174" spans="1:10" s="21" customFormat="1" ht="20.25" customHeight="1">
      <c r="A174" s="87" t="s">
        <v>28</v>
      </c>
      <c r="B174" s="20" t="s">
        <v>145</v>
      </c>
      <c r="C174" s="20" t="s">
        <v>232</v>
      </c>
      <c r="D174" s="20" t="s">
        <v>175</v>
      </c>
      <c r="E174" s="20" t="s">
        <v>29</v>
      </c>
      <c r="F174" s="20"/>
      <c r="G174" s="57"/>
      <c r="H174" s="57"/>
      <c r="J174" s="137"/>
    </row>
    <row r="175" spans="1:10" s="21" customFormat="1" ht="20.25" customHeight="1">
      <c r="A175" s="87" t="s">
        <v>30</v>
      </c>
      <c r="B175" s="20"/>
      <c r="C175" s="20"/>
      <c r="D175" s="20"/>
      <c r="E175" s="20" t="s">
        <v>31</v>
      </c>
      <c r="F175" s="20"/>
      <c r="G175" s="57"/>
      <c r="H175" s="57"/>
      <c r="J175" s="137"/>
    </row>
    <row r="176" spans="1:10" s="21" customFormat="1" ht="20.25" customHeight="1">
      <c r="A176" s="7" t="s">
        <v>32</v>
      </c>
      <c r="B176" s="20"/>
      <c r="C176" s="20"/>
      <c r="D176" s="20"/>
      <c r="E176" s="20"/>
      <c r="F176" s="20" t="s">
        <v>189</v>
      </c>
      <c r="G176" s="57"/>
      <c r="H176" s="57"/>
      <c r="J176" s="137"/>
    </row>
    <row r="177" spans="1:10" s="21" customFormat="1" ht="20.25" customHeight="1">
      <c r="A177" s="7" t="s">
        <v>33</v>
      </c>
      <c r="B177" s="20"/>
      <c r="C177" s="20"/>
      <c r="D177" s="20"/>
      <c r="E177" s="20"/>
      <c r="F177" s="20" t="s">
        <v>191</v>
      </c>
      <c r="G177" s="57"/>
      <c r="H177" s="57"/>
      <c r="J177" s="137"/>
    </row>
    <row r="178" spans="1:10" s="21" customFormat="1" ht="24.75" customHeight="1">
      <c r="A178" s="7" t="s">
        <v>34</v>
      </c>
      <c r="B178" s="20"/>
      <c r="C178" s="20"/>
      <c r="D178" s="20"/>
      <c r="E178" s="20"/>
      <c r="F178" s="20" t="s">
        <v>221</v>
      </c>
      <c r="G178" s="57"/>
      <c r="H178" s="57"/>
      <c r="J178" s="137"/>
    </row>
    <row r="179" spans="1:10" s="21" customFormat="1" ht="27.75" customHeight="1">
      <c r="A179" s="7" t="s">
        <v>35</v>
      </c>
      <c r="B179" s="20"/>
      <c r="C179" s="20"/>
      <c r="D179" s="20"/>
      <c r="E179" s="20"/>
      <c r="F179" s="20" t="s">
        <v>190</v>
      </c>
      <c r="G179" s="57"/>
      <c r="H179" s="57"/>
      <c r="J179" s="137"/>
    </row>
    <row r="180" spans="1:10" s="21" customFormat="1" ht="24.75" customHeight="1">
      <c r="A180" s="7" t="s">
        <v>36</v>
      </c>
      <c r="B180" s="20"/>
      <c r="C180" s="20"/>
      <c r="D180" s="20"/>
      <c r="E180" s="20"/>
      <c r="F180" s="20" t="s">
        <v>224</v>
      </c>
      <c r="G180" s="57"/>
      <c r="H180" s="57"/>
      <c r="J180" s="137"/>
    </row>
    <row r="181" spans="1:10" s="21" customFormat="1" ht="20.25" customHeight="1">
      <c r="A181" s="87" t="s">
        <v>37</v>
      </c>
      <c r="B181" s="20" t="s">
        <v>145</v>
      </c>
      <c r="C181" s="20" t="s">
        <v>232</v>
      </c>
      <c r="D181" s="20" t="s">
        <v>175</v>
      </c>
      <c r="E181" s="20" t="s">
        <v>38</v>
      </c>
      <c r="F181" s="20"/>
      <c r="G181" s="57">
        <f>G182+G183+G184</f>
        <v>87000</v>
      </c>
      <c r="H181" s="57"/>
      <c r="J181" s="137"/>
    </row>
    <row r="182" spans="1:10" s="21" customFormat="1" ht="36.75" customHeight="1">
      <c r="A182" s="11" t="s">
        <v>39</v>
      </c>
      <c r="B182" s="20"/>
      <c r="C182" s="20"/>
      <c r="D182" s="20"/>
      <c r="E182" s="20"/>
      <c r="F182" s="20" t="s">
        <v>183</v>
      </c>
      <c r="G182" s="57">
        <v>87000</v>
      </c>
      <c r="H182" s="57"/>
      <c r="J182" s="137"/>
    </row>
    <row r="183" spans="1:10" s="21" customFormat="1" ht="39" customHeight="1">
      <c r="A183" s="19" t="s">
        <v>40</v>
      </c>
      <c r="B183" s="20"/>
      <c r="C183" s="20"/>
      <c r="D183" s="20"/>
      <c r="E183" s="20"/>
      <c r="F183" s="20" t="s">
        <v>222</v>
      </c>
      <c r="G183" s="57"/>
      <c r="H183" s="57"/>
      <c r="J183" s="137"/>
    </row>
    <row r="184" spans="1:10" s="21" customFormat="1" ht="26.25" customHeight="1">
      <c r="A184" s="12" t="s">
        <v>41</v>
      </c>
      <c r="B184" s="20"/>
      <c r="C184" s="20"/>
      <c r="D184" s="20"/>
      <c r="E184" s="20"/>
      <c r="F184" s="20" t="s">
        <v>192</v>
      </c>
      <c r="G184" s="57"/>
      <c r="H184" s="57"/>
      <c r="J184" s="137"/>
    </row>
    <row r="185" spans="1:10" s="21" customFormat="1" ht="20.25" customHeight="1">
      <c r="A185" s="43" t="s">
        <v>42</v>
      </c>
      <c r="B185" s="14" t="s">
        <v>145</v>
      </c>
      <c r="C185" s="14" t="s">
        <v>232</v>
      </c>
      <c r="D185" s="14" t="s">
        <v>175</v>
      </c>
      <c r="E185" s="14" t="s">
        <v>43</v>
      </c>
      <c r="F185" s="20"/>
      <c r="G185" s="57"/>
      <c r="H185" s="57"/>
      <c r="J185" s="137"/>
    </row>
    <row r="186" spans="1:10" s="21" customFormat="1" ht="20.25" customHeight="1">
      <c r="A186" s="87" t="s">
        <v>44</v>
      </c>
      <c r="B186" s="20" t="s">
        <v>145</v>
      </c>
      <c r="C186" s="20" t="s">
        <v>232</v>
      </c>
      <c r="D186" s="20" t="s">
        <v>175</v>
      </c>
      <c r="E186" s="20" t="s">
        <v>45</v>
      </c>
      <c r="F186" s="20"/>
      <c r="G186" s="57"/>
      <c r="H186" s="57"/>
      <c r="J186" s="137"/>
    </row>
    <row r="187" spans="1:10" s="21" customFormat="1" ht="20.25" customHeight="1">
      <c r="A187" s="6" t="s">
        <v>46</v>
      </c>
      <c r="B187" s="20"/>
      <c r="C187" s="20"/>
      <c r="D187" s="20"/>
      <c r="E187" s="20"/>
      <c r="F187" s="20"/>
      <c r="G187" s="57"/>
      <c r="H187" s="57"/>
      <c r="J187" s="137"/>
    </row>
    <row r="188" spans="1:10" s="21" customFormat="1" ht="20.25" customHeight="1">
      <c r="A188" s="43" t="s">
        <v>47</v>
      </c>
      <c r="B188" s="14" t="s">
        <v>145</v>
      </c>
      <c r="C188" s="14" t="s">
        <v>232</v>
      </c>
      <c r="D188" s="14" t="s">
        <v>175</v>
      </c>
      <c r="E188" s="14" t="s">
        <v>48</v>
      </c>
      <c r="F188" s="20"/>
      <c r="G188" s="53">
        <f>G189</f>
        <v>172000</v>
      </c>
      <c r="H188" s="57"/>
      <c r="J188" s="137"/>
    </row>
    <row r="189" spans="1:10" s="21" customFormat="1" ht="24.75" customHeight="1">
      <c r="A189" s="12" t="s">
        <v>41</v>
      </c>
      <c r="B189" s="20"/>
      <c r="C189" s="20"/>
      <c r="D189" s="20"/>
      <c r="E189" s="20"/>
      <c r="F189" s="20"/>
      <c r="G189" s="57">
        <v>172000</v>
      </c>
      <c r="H189" s="57"/>
      <c r="J189" s="137"/>
    </row>
    <row r="190" spans="1:10" s="21" customFormat="1" ht="20.25" customHeight="1">
      <c r="A190" s="43" t="s">
        <v>49</v>
      </c>
      <c r="B190" s="14" t="s">
        <v>145</v>
      </c>
      <c r="C190" s="14" t="s">
        <v>232</v>
      </c>
      <c r="D190" s="14" t="s">
        <v>175</v>
      </c>
      <c r="E190" s="14" t="s">
        <v>50</v>
      </c>
      <c r="F190" s="20"/>
      <c r="G190" s="53">
        <f>G191+G195</f>
        <v>364500</v>
      </c>
      <c r="H190" s="57"/>
      <c r="J190" s="137"/>
    </row>
    <row r="191" spans="1:10" s="21" customFormat="1" ht="20.25" customHeight="1">
      <c r="A191" s="87" t="s">
        <v>51</v>
      </c>
      <c r="B191" s="20" t="s">
        <v>145</v>
      </c>
      <c r="C191" s="20" t="s">
        <v>232</v>
      </c>
      <c r="D191" s="20" t="s">
        <v>175</v>
      </c>
      <c r="E191" s="20" t="s">
        <v>52</v>
      </c>
      <c r="F191" s="20"/>
      <c r="G191" s="57">
        <f>G194</f>
        <v>214500</v>
      </c>
      <c r="H191" s="57"/>
      <c r="J191" s="137"/>
    </row>
    <row r="192" spans="1:10" s="21" customFormat="1" ht="20.25" customHeight="1">
      <c r="A192" s="7" t="s">
        <v>53</v>
      </c>
      <c r="B192" s="20"/>
      <c r="C192" s="20"/>
      <c r="D192" s="20"/>
      <c r="E192" s="20"/>
      <c r="F192" s="20" t="s">
        <v>223</v>
      </c>
      <c r="G192" s="57"/>
      <c r="H192" s="57"/>
      <c r="J192" s="137"/>
    </row>
    <row r="193" spans="1:10" s="21" customFormat="1" ht="27" customHeight="1">
      <c r="A193" s="7" t="s">
        <v>54</v>
      </c>
      <c r="B193" s="20"/>
      <c r="C193" s="20"/>
      <c r="D193" s="20"/>
      <c r="E193" s="20"/>
      <c r="F193" s="20" t="s">
        <v>194</v>
      </c>
      <c r="G193" s="57"/>
      <c r="H193" s="57"/>
      <c r="J193" s="137"/>
    </row>
    <row r="194" spans="1:10" s="21" customFormat="1" ht="24.75" customHeight="1">
      <c r="A194" s="7" t="s">
        <v>55</v>
      </c>
      <c r="B194" s="20"/>
      <c r="C194" s="20"/>
      <c r="D194" s="20"/>
      <c r="E194" s="20"/>
      <c r="F194" s="20" t="s">
        <v>193</v>
      </c>
      <c r="G194" s="57">
        <v>214500</v>
      </c>
      <c r="H194" s="57"/>
      <c r="J194" s="137"/>
    </row>
    <row r="195" spans="1:10" s="21" customFormat="1" ht="20.25" customHeight="1">
      <c r="A195" s="87" t="s">
        <v>56</v>
      </c>
      <c r="B195" s="20" t="s">
        <v>145</v>
      </c>
      <c r="C195" s="20" t="s">
        <v>232</v>
      </c>
      <c r="D195" s="20" t="s">
        <v>175</v>
      </c>
      <c r="E195" s="20" t="s">
        <v>57</v>
      </c>
      <c r="F195" s="20"/>
      <c r="G195" s="57">
        <f>G196+G197+G199</f>
        <v>150000</v>
      </c>
      <c r="H195" s="57"/>
      <c r="J195" s="137"/>
    </row>
    <row r="196" spans="1:10" s="21" customFormat="1" ht="24.75" customHeight="1">
      <c r="A196" s="7" t="s">
        <v>58</v>
      </c>
      <c r="B196" s="20"/>
      <c r="C196" s="20"/>
      <c r="D196" s="20"/>
      <c r="E196" s="20"/>
      <c r="F196" s="20" t="s">
        <v>195</v>
      </c>
      <c r="G196" s="57"/>
      <c r="H196" s="57"/>
      <c r="J196" s="137"/>
    </row>
    <row r="197" spans="1:10" s="21" customFormat="1" ht="20.25" customHeight="1">
      <c r="A197" s="7" t="s">
        <v>59</v>
      </c>
      <c r="B197" s="20"/>
      <c r="C197" s="20"/>
      <c r="D197" s="20"/>
      <c r="E197" s="20"/>
      <c r="F197" s="20" t="s">
        <v>196</v>
      </c>
      <c r="G197" s="57"/>
      <c r="H197" s="57"/>
      <c r="J197" s="137"/>
    </row>
    <row r="198" spans="1:10" s="21" customFormat="1" ht="20.25" customHeight="1">
      <c r="A198" s="7" t="s">
        <v>60</v>
      </c>
      <c r="B198" s="20"/>
      <c r="C198" s="20"/>
      <c r="D198" s="20"/>
      <c r="E198" s="20"/>
      <c r="F198" s="20" t="s">
        <v>197</v>
      </c>
      <c r="G198" s="57"/>
      <c r="H198" s="57"/>
      <c r="J198" s="137"/>
    </row>
    <row r="199" spans="1:10" s="21" customFormat="1" ht="24" customHeight="1">
      <c r="A199" s="7" t="s">
        <v>61</v>
      </c>
      <c r="B199" s="20"/>
      <c r="C199" s="20"/>
      <c r="D199" s="20"/>
      <c r="E199" s="20"/>
      <c r="F199" s="20" t="s">
        <v>198</v>
      </c>
      <c r="G199" s="57">
        <v>150000</v>
      </c>
      <c r="H199" s="57"/>
      <c r="J199" s="137"/>
    </row>
    <row r="200" spans="1:10" s="32" customFormat="1" ht="24" customHeight="1">
      <c r="A200" s="111" t="s">
        <v>86</v>
      </c>
      <c r="B200" s="48" t="s">
        <v>146</v>
      </c>
      <c r="C200" s="48" t="s">
        <v>82</v>
      </c>
      <c r="D200" s="48" t="s">
        <v>2</v>
      </c>
      <c r="E200" s="48" t="s">
        <v>2</v>
      </c>
      <c r="F200" s="48"/>
      <c r="G200" s="59">
        <f>G201+G205</f>
        <v>23095136.917999998</v>
      </c>
      <c r="H200" s="59"/>
      <c r="J200" s="139"/>
    </row>
    <row r="201" spans="1:10" s="32" customFormat="1" ht="15" customHeight="1">
      <c r="A201" s="117" t="s">
        <v>234</v>
      </c>
      <c r="B201" s="25"/>
      <c r="C201" s="25"/>
      <c r="D201" s="25"/>
      <c r="E201" s="25"/>
      <c r="F201" s="25"/>
      <c r="G201" s="116">
        <f>G202</f>
        <v>894156.0260000001</v>
      </c>
      <c r="H201" s="116"/>
      <c r="J201" s="139"/>
    </row>
    <row r="202" spans="1:10" s="32" customFormat="1" ht="15.75" customHeight="1">
      <c r="A202" s="123" t="s">
        <v>4</v>
      </c>
      <c r="B202" s="25"/>
      <c r="C202" s="25"/>
      <c r="D202" s="25"/>
      <c r="E202" s="25"/>
      <c r="F202" s="25"/>
      <c r="G202" s="124">
        <f>G203+G204</f>
        <v>894156.0260000001</v>
      </c>
      <c r="H202" s="116"/>
      <c r="J202" s="139"/>
    </row>
    <row r="203" spans="1:10" s="32" customFormat="1" ht="13.5" customHeight="1">
      <c r="A203" s="118" t="s">
        <v>6</v>
      </c>
      <c r="B203" s="119"/>
      <c r="C203" s="119"/>
      <c r="D203" s="119"/>
      <c r="E203" s="119"/>
      <c r="F203" s="119"/>
      <c r="G203" s="120">
        <v>708523</v>
      </c>
      <c r="H203" s="120"/>
      <c r="J203" s="139"/>
    </row>
    <row r="204" spans="1:10" s="32" customFormat="1" ht="13.5" customHeight="1">
      <c r="A204" s="118" t="s">
        <v>13</v>
      </c>
      <c r="B204" s="119"/>
      <c r="C204" s="119"/>
      <c r="D204" s="119"/>
      <c r="E204" s="119"/>
      <c r="F204" s="119"/>
      <c r="G204" s="120">
        <f>G203*26.2%</f>
        <v>185633.026</v>
      </c>
      <c r="H204" s="120"/>
      <c r="J204" s="139"/>
    </row>
    <row r="205" spans="1:10" s="86" customFormat="1" ht="12.75" customHeight="1">
      <c r="A205" s="47" t="s">
        <v>174</v>
      </c>
      <c r="B205" s="121" t="s">
        <v>146</v>
      </c>
      <c r="C205" s="121" t="s">
        <v>82</v>
      </c>
      <c r="D205" s="121" t="s">
        <v>175</v>
      </c>
      <c r="E205" s="121" t="s">
        <v>2</v>
      </c>
      <c r="F205" s="121"/>
      <c r="G205" s="59">
        <f>G206+G213+G236+G238</f>
        <v>22200980.891999997</v>
      </c>
      <c r="H205" s="122"/>
      <c r="J205" s="140"/>
    </row>
    <row r="206" spans="1:10" s="45" customFormat="1" ht="13.5" customHeight="1">
      <c r="A206" s="43" t="s">
        <v>4</v>
      </c>
      <c r="B206" s="44" t="s">
        <v>146</v>
      </c>
      <c r="C206" s="44" t="s">
        <v>82</v>
      </c>
      <c r="D206" s="44" t="s">
        <v>175</v>
      </c>
      <c r="E206" s="44" t="s">
        <v>5</v>
      </c>
      <c r="F206" s="44"/>
      <c r="G206" s="61">
        <f>SUM(G212,G207)+G208</f>
        <v>11025144.792</v>
      </c>
      <c r="H206" s="61"/>
      <c r="J206" s="133"/>
    </row>
    <row r="207" spans="1:10" s="28" customFormat="1" ht="12.75">
      <c r="A207" s="87" t="s">
        <v>6</v>
      </c>
      <c r="B207" s="27" t="s">
        <v>146</v>
      </c>
      <c r="C207" s="27" t="s">
        <v>82</v>
      </c>
      <c r="D207" s="27" t="s">
        <v>175</v>
      </c>
      <c r="E207" s="27" t="s">
        <v>7</v>
      </c>
      <c r="F207" s="27"/>
      <c r="G207" s="56">
        <v>8068316</v>
      </c>
      <c r="H207" s="56"/>
      <c r="J207" s="134"/>
    </row>
    <row r="208" spans="1:10" s="28" customFormat="1" ht="12.75">
      <c r="A208" s="87" t="s">
        <v>8</v>
      </c>
      <c r="B208" s="27" t="s">
        <v>146</v>
      </c>
      <c r="C208" s="27" t="s">
        <v>82</v>
      </c>
      <c r="D208" s="27" t="s">
        <v>175</v>
      </c>
      <c r="E208" s="27" t="s">
        <v>9</v>
      </c>
      <c r="F208" s="27"/>
      <c r="G208" s="56">
        <f>SUM(G209:G211)</f>
        <v>842930</v>
      </c>
      <c r="H208" s="56"/>
      <c r="J208" s="134"/>
    </row>
    <row r="209" spans="1:10" ht="25.5">
      <c r="A209" s="11" t="s">
        <v>10</v>
      </c>
      <c r="B209" s="4"/>
      <c r="C209" s="4"/>
      <c r="D209" s="4"/>
      <c r="E209" s="4"/>
      <c r="F209" s="4" t="s">
        <v>183</v>
      </c>
      <c r="G209" s="55">
        <v>72930</v>
      </c>
      <c r="H209" s="55"/>
      <c r="J209" s="126"/>
    </row>
    <row r="210" spans="1:10" ht="12.75" customHeight="1">
      <c r="A210" s="12" t="s">
        <v>11</v>
      </c>
      <c r="B210" s="4"/>
      <c r="C210" s="4"/>
      <c r="D210" s="4"/>
      <c r="E210" s="4"/>
      <c r="F210" s="4" t="s">
        <v>200</v>
      </c>
      <c r="G210" s="55">
        <f>SUM(H210:H210)</f>
        <v>0</v>
      </c>
      <c r="H210" s="55"/>
      <c r="J210" s="126"/>
    </row>
    <row r="211" spans="1:10" ht="26.25" customHeight="1">
      <c r="A211" s="6" t="s">
        <v>12</v>
      </c>
      <c r="B211" s="4"/>
      <c r="C211" s="4"/>
      <c r="D211" s="4"/>
      <c r="E211" s="4"/>
      <c r="F211" s="4" t="s">
        <v>184</v>
      </c>
      <c r="G211" s="55">
        <v>770000</v>
      </c>
      <c r="H211" s="55"/>
      <c r="J211" s="126"/>
    </row>
    <row r="212" spans="1:10" s="28" customFormat="1" ht="12.75">
      <c r="A212" s="87" t="s">
        <v>13</v>
      </c>
      <c r="B212" s="27" t="s">
        <v>146</v>
      </c>
      <c r="C212" s="27" t="s">
        <v>82</v>
      </c>
      <c r="D212" s="27" t="s">
        <v>175</v>
      </c>
      <c r="E212" s="27" t="s">
        <v>14</v>
      </c>
      <c r="F212" s="27"/>
      <c r="G212" s="56">
        <f>G207*26.2%</f>
        <v>2113898.792</v>
      </c>
      <c r="H212" s="56"/>
      <c r="J212" s="134"/>
    </row>
    <row r="213" spans="1:10" s="45" customFormat="1" ht="12.75">
      <c r="A213" s="43" t="s">
        <v>15</v>
      </c>
      <c r="B213" s="44" t="s">
        <v>146</v>
      </c>
      <c r="C213" s="44" t="s">
        <v>82</v>
      </c>
      <c r="D213" s="44" t="s">
        <v>175</v>
      </c>
      <c r="E213" s="44" t="s">
        <v>16</v>
      </c>
      <c r="F213" s="44"/>
      <c r="G213" s="61">
        <f>SUM(G214,G215,G218,G223,G229)</f>
        <v>8933336.1</v>
      </c>
      <c r="H213" s="61"/>
      <c r="J213" s="133"/>
    </row>
    <row r="214" spans="1:10" s="28" customFormat="1" ht="12.75">
      <c r="A214" s="87" t="s">
        <v>17</v>
      </c>
      <c r="B214" s="27" t="s">
        <v>146</v>
      </c>
      <c r="C214" s="27" t="s">
        <v>82</v>
      </c>
      <c r="D214" s="27" t="s">
        <v>175</v>
      </c>
      <c r="E214" s="27" t="s">
        <v>18</v>
      </c>
      <c r="F214" s="27"/>
      <c r="G214" s="56">
        <v>732612</v>
      </c>
      <c r="H214" s="56"/>
      <c r="J214" s="134"/>
    </row>
    <row r="215" spans="1:10" s="28" customFormat="1" ht="12.75">
      <c r="A215" s="87" t="s">
        <v>21</v>
      </c>
      <c r="B215" s="27" t="s">
        <v>146</v>
      </c>
      <c r="C215" s="27" t="s">
        <v>82</v>
      </c>
      <c r="D215" s="27" t="s">
        <v>175</v>
      </c>
      <c r="E215" s="27" t="s">
        <v>19</v>
      </c>
      <c r="F215" s="27"/>
      <c r="G215" s="102">
        <f>SUM(G216:G217)</f>
        <v>747789</v>
      </c>
      <c r="H215" s="56"/>
      <c r="J215" s="134"/>
    </row>
    <row r="216" spans="1:10" ht="25.5">
      <c r="A216" s="11" t="s">
        <v>20</v>
      </c>
      <c r="B216" s="4"/>
      <c r="C216" s="4"/>
      <c r="D216" s="4"/>
      <c r="E216" s="4"/>
      <c r="F216" s="4" t="s">
        <v>183</v>
      </c>
      <c r="G216" s="55">
        <v>487789</v>
      </c>
      <c r="H216" s="55"/>
      <c r="J216" s="126"/>
    </row>
    <row r="217" spans="1:10" ht="38.25">
      <c r="A217" s="8" t="s">
        <v>22</v>
      </c>
      <c r="B217" s="4"/>
      <c r="C217" s="4"/>
      <c r="D217" s="4"/>
      <c r="E217" s="4"/>
      <c r="F217" s="4" t="s">
        <v>185</v>
      </c>
      <c r="G217" s="55">
        <v>260000</v>
      </c>
      <c r="H217" s="55"/>
      <c r="J217" s="126"/>
    </row>
    <row r="218" spans="1:10" s="28" customFormat="1" ht="12.75">
      <c r="A218" s="87" t="s">
        <v>23</v>
      </c>
      <c r="B218" s="27" t="s">
        <v>146</v>
      </c>
      <c r="C218" s="27" t="s">
        <v>82</v>
      </c>
      <c r="D218" s="27" t="s">
        <v>175</v>
      </c>
      <c r="E218" s="27" t="s">
        <v>24</v>
      </c>
      <c r="F218" s="27"/>
      <c r="G218" s="102">
        <f>SUM(G219:G221)</f>
        <v>3949200.1</v>
      </c>
      <c r="H218" s="56"/>
      <c r="J218" s="134"/>
    </row>
    <row r="219" spans="1:10" ht="12.75" customHeight="1">
      <c r="A219" s="7" t="s">
        <v>25</v>
      </c>
      <c r="B219" s="4"/>
      <c r="C219" s="4"/>
      <c r="D219" s="4"/>
      <c r="E219" s="4"/>
      <c r="F219" s="4" t="s">
        <v>186</v>
      </c>
      <c r="G219" s="55">
        <v>3734160</v>
      </c>
      <c r="H219" s="55"/>
      <c r="J219" s="126"/>
    </row>
    <row r="220" spans="1:10" ht="12.75" customHeight="1">
      <c r="A220" s="7" t="s">
        <v>26</v>
      </c>
      <c r="B220" s="4"/>
      <c r="C220" s="4"/>
      <c r="D220" s="4"/>
      <c r="E220" s="4"/>
      <c r="F220" s="4" t="s">
        <v>187</v>
      </c>
      <c r="G220" s="55">
        <v>156610</v>
      </c>
      <c r="H220" s="55"/>
      <c r="J220" s="126"/>
    </row>
    <row r="221" spans="1:10" ht="12.75">
      <c r="A221" s="7" t="s">
        <v>27</v>
      </c>
      <c r="B221" s="4"/>
      <c r="C221" s="4"/>
      <c r="D221" s="4"/>
      <c r="E221" s="4"/>
      <c r="F221" s="4" t="s">
        <v>188</v>
      </c>
      <c r="G221" s="55">
        <v>58430.1</v>
      </c>
      <c r="H221" s="55"/>
      <c r="J221" s="126"/>
    </row>
    <row r="222" spans="1:10" s="28" customFormat="1" ht="15" customHeight="1">
      <c r="A222" s="87" t="s">
        <v>28</v>
      </c>
      <c r="B222" s="27" t="s">
        <v>146</v>
      </c>
      <c r="C222" s="27" t="s">
        <v>82</v>
      </c>
      <c r="D222" s="27" t="s">
        <v>175</v>
      </c>
      <c r="E222" s="27" t="s">
        <v>29</v>
      </c>
      <c r="F222" s="27"/>
      <c r="G222" s="56">
        <f>SUM(H222:H222)</f>
        <v>0</v>
      </c>
      <c r="H222" s="56"/>
      <c r="J222" s="134"/>
    </row>
    <row r="223" spans="1:10" s="28" customFormat="1" ht="12.75">
      <c r="A223" s="87" t="s">
        <v>30</v>
      </c>
      <c r="B223" s="27" t="s">
        <v>146</v>
      </c>
      <c r="C223" s="27" t="s">
        <v>82</v>
      </c>
      <c r="D223" s="27" t="s">
        <v>175</v>
      </c>
      <c r="E223" s="27" t="s">
        <v>31</v>
      </c>
      <c r="F223" s="27"/>
      <c r="G223" s="57">
        <f>SUM(G224:G228)</f>
        <v>1166522</v>
      </c>
      <c r="H223" s="56"/>
      <c r="J223" s="134"/>
    </row>
    <row r="224" spans="1:10" s="18" customFormat="1" ht="12.75">
      <c r="A224" s="7" t="s">
        <v>32</v>
      </c>
      <c r="B224" s="17"/>
      <c r="C224" s="17"/>
      <c r="D224" s="17"/>
      <c r="E224" s="17"/>
      <c r="F224" s="17" t="s">
        <v>189</v>
      </c>
      <c r="G224" s="54">
        <v>385802</v>
      </c>
      <c r="H224" s="54"/>
      <c r="J224" s="136"/>
    </row>
    <row r="225" spans="1:10" s="18" customFormat="1" ht="12.75">
      <c r="A225" s="7" t="s">
        <v>33</v>
      </c>
      <c r="B225" s="17"/>
      <c r="C225" s="17"/>
      <c r="D225" s="17"/>
      <c r="E225" s="17"/>
      <c r="F225" s="17" t="s">
        <v>191</v>
      </c>
      <c r="G225" s="54">
        <f>SUM(H225:H225)</f>
        <v>0</v>
      </c>
      <c r="H225" s="54"/>
      <c r="J225" s="136"/>
    </row>
    <row r="226" spans="1:10" s="18" customFormat="1" ht="25.5">
      <c r="A226" s="7" t="s">
        <v>34</v>
      </c>
      <c r="B226" s="17"/>
      <c r="C226" s="17"/>
      <c r="D226" s="17"/>
      <c r="E226" s="17"/>
      <c r="F226" s="17" t="s">
        <v>221</v>
      </c>
      <c r="G226" s="54">
        <v>90720</v>
      </c>
      <c r="H226" s="54"/>
      <c r="J226" s="136"/>
    </row>
    <row r="227" spans="1:10" s="18" customFormat="1" ht="25.5">
      <c r="A227" s="7" t="s">
        <v>35</v>
      </c>
      <c r="B227" s="17"/>
      <c r="C227" s="17"/>
      <c r="D227" s="17"/>
      <c r="E227" s="17"/>
      <c r="F227" s="17" t="s">
        <v>190</v>
      </c>
      <c r="G227" s="54">
        <v>690000</v>
      </c>
      <c r="H227" s="54"/>
      <c r="J227" s="136"/>
    </row>
    <row r="228" spans="1:10" s="18" customFormat="1" ht="51">
      <c r="A228" s="7" t="s">
        <v>36</v>
      </c>
      <c r="B228" s="17"/>
      <c r="C228" s="17"/>
      <c r="D228" s="17"/>
      <c r="E228" s="17"/>
      <c r="F228" s="17" t="s">
        <v>224</v>
      </c>
      <c r="G228" s="54"/>
      <c r="H228" s="54"/>
      <c r="J228" s="136"/>
    </row>
    <row r="229" spans="1:10" s="28" customFormat="1" ht="12.75">
      <c r="A229" s="87" t="s">
        <v>37</v>
      </c>
      <c r="B229" s="27" t="s">
        <v>146</v>
      </c>
      <c r="C229" s="27" t="s">
        <v>82</v>
      </c>
      <c r="D229" s="27" t="s">
        <v>175</v>
      </c>
      <c r="E229" s="27" t="s">
        <v>38</v>
      </c>
      <c r="F229" s="27"/>
      <c r="G229" s="56">
        <f>SUM(G230:G232)</f>
        <v>2337213</v>
      </c>
      <c r="H229" s="56"/>
      <c r="J229" s="134"/>
    </row>
    <row r="230" spans="1:10" s="21" customFormat="1" ht="38.25">
      <c r="A230" s="11" t="s">
        <v>39</v>
      </c>
      <c r="B230" s="20"/>
      <c r="C230" s="20"/>
      <c r="D230" s="20"/>
      <c r="E230" s="20"/>
      <c r="F230" s="20" t="s">
        <v>183</v>
      </c>
      <c r="G230" s="57">
        <v>401550</v>
      </c>
      <c r="H230" s="57"/>
      <c r="J230" s="137"/>
    </row>
    <row r="231" spans="1:10" s="21" customFormat="1" ht="38.25">
      <c r="A231" s="19" t="s">
        <v>40</v>
      </c>
      <c r="B231" s="20"/>
      <c r="C231" s="20"/>
      <c r="D231" s="20"/>
      <c r="E231" s="20"/>
      <c r="F231" s="20" t="s">
        <v>222</v>
      </c>
      <c r="G231" s="57">
        <v>5600</v>
      </c>
      <c r="H231" s="57"/>
      <c r="J231" s="137"/>
    </row>
    <row r="232" spans="1:10" s="21" customFormat="1" ht="25.5" customHeight="1">
      <c r="A232" s="12" t="s">
        <v>41</v>
      </c>
      <c r="B232" s="20"/>
      <c r="C232" s="20"/>
      <c r="D232" s="20"/>
      <c r="E232" s="20"/>
      <c r="F232" s="20" t="s">
        <v>192</v>
      </c>
      <c r="G232" s="57">
        <v>1930063</v>
      </c>
      <c r="H232" s="57"/>
      <c r="J232" s="137"/>
    </row>
    <row r="233" spans="1:10" s="45" customFormat="1" ht="12.75">
      <c r="A233" s="43" t="s">
        <v>42</v>
      </c>
      <c r="B233" s="44" t="s">
        <v>146</v>
      </c>
      <c r="C233" s="44" t="s">
        <v>82</v>
      </c>
      <c r="D233" s="44" t="s">
        <v>175</v>
      </c>
      <c r="E233" s="44" t="s">
        <v>43</v>
      </c>
      <c r="F233" s="44"/>
      <c r="G233" s="61">
        <f>SUM(G234)</f>
        <v>0</v>
      </c>
      <c r="H233" s="61"/>
      <c r="J233" s="133"/>
    </row>
    <row r="234" spans="1:10" s="28" customFormat="1" ht="12.75">
      <c r="A234" s="87" t="s">
        <v>44</v>
      </c>
      <c r="B234" s="27" t="s">
        <v>146</v>
      </c>
      <c r="C234" s="27" t="s">
        <v>82</v>
      </c>
      <c r="D234" s="27" t="s">
        <v>175</v>
      </c>
      <c r="E234" s="27" t="s">
        <v>45</v>
      </c>
      <c r="F234" s="27"/>
      <c r="G234" s="56">
        <f>SUM(H234:H235)</f>
        <v>0</v>
      </c>
      <c r="H234" s="56"/>
      <c r="J234" s="134"/>
    </row>
    <row r="235" spans="1:10" s="21" customFormat="1" ht="12.75">
      <c r="A235" s="6" t="s">
        <v>46</v>
      </c>
      <c r="B235" s="20"/>
      <c r="C235" s="20"/>
      <c r="D235" s="20"/>
      <c r="E235" s="20"/>
      <c r="F235" s="20"/>
      <c r="G235" s="57">
        <f>SUM(H235:H235)</f>
        <v>0</v>
      </c>
      <c r="H235" s="57"/>
      <c r="J235" s="137"/>
    </row>
    <row r="236" spans="1:10" s="45" customFormat="1" ht="12.75">
      <c r="A236" s="43" t="s">
        <v>47</v>
      </c>
      <c r="B236" s="44" t="s">
        <v>146</v>
      </c>
      <c r="C236" s="44" t="s">
        <v>82</v>
      </c>
      <c r="D236" s="44" t="s">
        <v>175</v>
      </c>
      <c r="E236" s="44" t="s">
        <v>48</v>
      </c>
      <c r="F236" s="44"/>
      <c r="G236" s="61">
        <f>SUM(G237)</f>
        <v>445000</v>
      </c>
      <c r="H236" s="61"/>
      <c r="J236" s="133"/>
    </row>
    <row r="237" spans="1:10" s="21" customFormat="1" ht="27.75" customHeight="1">
      <c r="A237" s="12" t="s">
        <v>41</v>
      </c>
      <c r="B237" s="20"/>
      <c r="C237" s="20"/>
      <c r="D237" s="20"/>
      <c r="E237" s="20"/>
      <c r="F237" s="20"/>
      <c r="G237" s="57">
        <v>445000</v>
      </c>
      <c r="H237" s="57"/>
      <c r="J237" s="137"/>
    </row>
    <row r="238" spans="1:10" s="45" customFormat="1" ht="12.75">
      <c r="A238" s="43" t="s">
        <v>49</v>
      </c>
      <c r="B238" s="44" t="s">
        <v>146</v>
      </c>
      <c r="C238" s="44" t="s">
        <v>82</v>
      </c>
      <c r="D238" s="44" t="s">
        <v>175</v>
      </c>
      <c r="E238" s="44" t="s">
        <v>50</v>
      </c>
      <c r="F238" s="44"/>
      <c r="G238" s="61">
        <f>SUM(G239,G243)</f>
        <v>1797500</v>
      </c>
      <c r="H238" s="61"/>
      <c r="J238" s="133"/>
    </row>
    <row r="239" spans="1:10" s="28" customFormat="1" ht="12.75">
      <c r="A239" s="87" t="s">
        <v>51</v>
      </c>
      <c r="B239" s="27" t="s">
        <v>146</v>
      </c>
      <c r="C239" s="27" t="s">
        <v>82</v>
      </c>
      <c r="D239" s="27" t="s">
        <v>175</v>
      </c>
      <c r="E239" s="27" t="s">
        <v>52</v>
      </c>
      <c r="F239" s="27"/>
      <c r="G239" s="56">
        <f>SUM(G240:G242)</f>
        <v>653500</v>
      </c>
      <c r="H239" s="56"/>
      <c r="J239" s="134"/>
    </row>
    <row r="240" spans="1:10" s="21" customFormat="1" ht="12.75">
      <c r="A240" s="7" t="s">
        <v>53</v>
      </c>
      <c r="B240" s="20"/>
      <c r="C240" s="20"/>
      <c r="D240" s="20"/>
      <c r="E240" s="20"/>
      <c r="F240" s="20" t="s">
        <v>223</v>
      </c>
      <c r="G240" s="57">
        <f>SUM(H240:H240)</f>
        <v>0</v>
      </c>
      <c r="H240" s="57"/>
      <c r="J240" s="137"/>
    </row>
    <row r="241" spans="1:10" s="21" customFormat="1" ht="38.25" customHeight="1">
      <c r="A241" s="7" t="s">
        <v>54</v>
      </c>
      <c r="B241" s="20"/>
      <c r="C241" s="20"/>
      <c r="D241" s="20"/>
      <c r="E241" s="20"/>
      <c r="F241" s="20" t="s">
        <v>194</v>
      </c>
      <c r="G241" s="57">
        <v>271500</v>
      </c>
      <c r="H241" s="57"/>
      <c r="J241" s="137"/>
    </row>
    <row r="242" spans="1:10" s="21" customFormat="1" ht="52.5" customHeight="1">
      <c r="A242" s="7" t="s">
        <v>55</v>
      </c>
      <c r="B242" s="20"/>
      <c r="C242" s="20"/>
      <c r="D242" s="20"/>
      <c r="E242" s="20"/>
      <c r="F242" s="20" t="s">
        <v>193</v>
      </c>
      <c r="G242" s="57">
        <v>382000</v>
      </c>
      <c r="H242" s="57"/>
      <c r="J242" s="137"/>
    </row>
    <row r="243" spans="1:10" s="28" customFormat="1" ht="14.25" customHeight="1">
      <c r="A243" s="87" t="s">
        <v>56</v>
      </c>
      <c r="B243" s="27" t="s">
        <v>146</v>
      </c>
      <c r="C243" s="27" t="s">
        <v>82</v>
      </c>
      <c r="D243" s="27" t="s">
        <v>175</v>
      </c>
      <c r="E243" s="27" t="s">
        <v>57</v>
      </c>
      <c r="F243" s="27"/>
      <c r="G243" s="56">
        <f>G244+G245+G246+G247</f>
        <v>1144000</v>
      </c>
      <c r="H243" s="56"/>
      <c r="J243" s="134"/>
    </row>
    <row r="244" spans="1:10" s="21" customFormat="1" ht="25.5">
      <c r="A244" s="7" t="s">
        <v>58</v>
      </c>
      <c r="B244" s="20"/>
      <c r="C244" s="20"/>
      <c r="D244" s="20"/>
      <c r="E244" s="20"/>
      <c r="F244" s="20" t="s">
        <v>195</v>
      </c>
      <c r="G244" s="57">
        <f>SUM(H244:H244)</f>
        <v>0</v>
      </c>
      <c r="H244" s="57"/>
      <c r="J244" s="137"/>
    </row>
    <row r="245" spans="1:10" s="21" customFormat="1" ht="12.75">
      <c r="A245" s="7" t="s">
        <v>59</v>
      </c>
      <c r="B245" s="20"/>
      <c r="C245" s="20"/>
      <c r="D245" s="20"/>
      <c r="E245" s="20"/>
      <c r="F245" s="20" t="s">
        <v>196</v>
      </c>
      <c r="G245" s="57">
        <f>SUM(H245:H245)</f>
        <v>0</v>
      </c>
      <c r="H245" s="57"/>
      <c r="J245" s="137"/>
    </row>
    <row r="246" spans="1:10" s="21" customFormat="1" ht="12.75">
      <c r="A246" s="7" t="s">
        <v>60</v>
      </c>
      <c r="B246" s="20"/>
      <c r="C246" s="20"/>
      <c r="D246" s="20"/>
      <c r="E246" s="20"/>
      <c r="F246" s="20" t="s">
        <v>197</v>
      </c>
      <c r="G246" s="57">
        <v>509000</v>
      </c>
      <c r="H246" s="57"/>
      <c r="J246" s="137"/>
    </row>
    <row r="247" spans="1:10" s="21" customFormat="1" ht="38.25">
      <c r="A247" s="7" t="s">
        <v>61</v>
      </c>
      <c r="B247" s="20"/>
      <c r="C247" s="20"/>
      <c r="D247" s="20"/>
      <c r="E247" s="20"/>
      <c r="F247" s="20" t="s">
        <v>198</v>
      </c>
      <c r="G247" s="57">
        <v>635000</v>
      </c>
      <c r="H247" s="57"/>
      <c r="J247" s="137"/>
    </row>
    <row r="248" spans="1:10" s="21" customFormat="1" ht="25.5">
      <c r="A248" s="111" t="s">
        <v>247</v>
      </c>
      <c r="B248" s="48" t="s">
        <v>259</v>
      </c>
      <c r="C248" s="48" t="s">
        <v>88</v>
      </c>
      <c r="D248" s="48"/>
      <c r="E248" s="48"/>
      <c r="F248" s="48"/>
      <c r="G248" s="51">
        <f>G249+G251</f>
        <v>300000</v>
      </c>
      <c r="H248" s="51"/>
      <c r="J248" s="137"/>
    </row>
    <row r="249" spans="1:10" s="21" customFormat="1" ht="25.5">
      <c r="A249" s="123" t="s">
        <v>242</v>
      </c>
      <c r="B249" s="25" t="s">
        <v>243</v>
      </c>
      <c r="C249" s="25" t="s">
        <v>244</v>
      </c>
      <c r="D249" s="25"/>
      <c r="E249" s="25"/>
      <c r="F249" s="25"/>
      <c r="G249" s="144">
        <f>G250</f>
        <v>150000</v>
      </c>
      <c r="H249" s="52"/>
      <c r="J249" s="137"/>
    </row>
    <row r="250" spans="1:10" s="21" customFormat="1" ht="25.5">
      <c r="A250" s="7" t="s">
        <v>41</v>
      </c>
      <c r="B250" s="20" t="s">
        <v>243</v>
      </c>
      <c r="C250" s="20" t="s">
        <v>244</v>
      </c>
      <c r="D250" s="20"/>
      <c r="E250" s="20"/>
      <c r="F250" s="20" t="s">
        <v>48</v>
      </c>
      <c r="G250" s="57">
        <v>150000</v>
      </c>
      <c r="H250" s="57"/>
      <c r="J250" s="137"/>
    </row>
    <row r="251" spans="1:10" s="21" customFormat="1" ht="25.5">
      <c r="A251" s="123" t="s">
        <v>245</v>
      </c>
      <c r="B251" s="25" t="s">
        <v>243</v>
      </c>
      <c r="C251" s="25" t="s">
        <v>244</v>
      </c>
      <c r="D251" s="25"/>
      <c r="E251" s="25"/>
      <c r="F251" s="25"/>
      <c r="G251" s="144">
        <f>G252</f>
        <v>150000</v>
      </c>
      <c r="H251" s="52"/>
      <c r="J251" s="137"/>
    </row>
    <row r="252" spans="1:10" s="21" customFormat="1" ht="25.5">
      <c r="A252" s="7" t="s">
        <v>41</v>
      </c>
      <c r="B252" s="20" t="s">
        <v>243</v>
      </c>
      <c r="C252" s="20" t="s">
        <v>244</v>
      </c>
      <c r="D252" s="20"/>
      <c r="E252" s="20"/>
      <c r="F252" s="20" t="s">
        <v>48</v>
      </c>
      <c r="G252" s="57">
        <v>150000</v>
      </c>
      <c r="H252" s="57"/>
      <c r="J252" s="137"/>
    </row>
    <row r="253" spans="1:10" s="15" customFormat="1" ht="25.5" hidden="1">
      <c r="A253" s="9" t="s">
        <v>87</v>
      </c>
      <c r="B253" s="5" t="s">
        <v>147</v>
      </c>
      <c r="C253" s="5" t="s">
        <v>88</v>
      </c>
      <c r="D253" s="5" t="s">
        <v>2</v>
      </c>
      <c r="E253" s="5"/>
      <c r="F253" s="5"/>
      <c r="G253" s="60"/>
      <c r="H253" s="60"/>
      <c r="J253" s="132"/>
    </row>
    <row r="254" spans="1:10" s="72" customFormat="1" ht="25.5" hidden="1">
      <c r="A254" s="81" t="s">
        <v>136</v>
      </c>
      <c r="B254" s="82" t="s">
        <v>147</v>
      </c>
      <c r="C254" s="82" t="s">
        <v>137</v>
      </c>
      <c r="D254" s="82" t="s">
        <v>138</v>
      </c>
      <c r="E254" s="82"/>
      <c r="F254" s="82"/>
      <c r="G254" s="71"/>
      <c r="H254" s="71"/>
      <c r="J254" s="129"/>
    </row>
    <row r="255" spans="1:10" s="72" customFormat="1" ht="9.75" customHeight="1" hidden="1">
      <c r="A255" s="69" t="s">
        <v>203</v>
      </c>
      <c r="B255" s="70" t="s">
        <v>147</v>
      </c>
      <c r="C255" s="70" t="s">
        <v>137</v>
      </c>
      <c r="D255" s="70" t="s">
        <v>138</v>
      </c>
      <c r="E255" s="70" t="s">
        <v>202</v>
      </c>
      <c r="F255" s="70"/>
      <c r="G255" s="71"/>
      <c r="H255" s="71"/>
      <c r="J255" s="129"/>
    </row>
    <row r="256" spans="1:10" s="30" customFormat="1" ht="12.75" customHeight="1" hidden="1">
      <c r="A256" s="33" t="s">
        <v>89</v>
      </c>
      <c r="B256" s="29"/>
      <c r="C256" s="29"/>
      <c r="D256" s="29"/>
      <c r="E256" s="29"/>
      <c r="F256" s="29"/>
      <c r="G256" s="58"/>
      <c r="H256" s="58"/>
      <c r="J256" s="135"/>
    </row>
    <row r="257" spans="1:10" s="30" customFormat="1" ht="15" customHeight="1" hidden="1">
      <c r="A257" s="33" t="s">
        <v>90</v>
      </c>
      <c r="B257" s="29"/>
      <c r="C257" s="29"/>
      <c r="D257" s="29"/>
      <c r="E257" s="29"/>
      <c r="F257" s="29"/>
      <c r="G257" s="58"/>
      <c r="H257" s="58"/>
      <c r="J257" s="135"/>
    </row>
    <row r="258" spans="1:10" s="15" customFormat="1" ht="15.75" customHeight="1">
      <c r="A258" s="47" t="s">
        <v>91</v>
      </c>
      <c r="B258" s="48" t="s">
        <v>148</v>
      </c>
      <c r="C258" s="48" t="s">
        <v>88</v>
      </c>
      <c r="D258" s="48" t="s">
        <v>2</v>
      </c>
      <c r="E258" s="48"/>
      <c r="F258" s="48"/>
      <c r="G258" s="51">
        <f>G259</f>
        <v>170000</v>
      </c>
      <c r="H258" s="51"/>
      <c r="J258" s="132"/>
    </row>
    <row r="259" spans="1:10" s="45" customFormat="1" ht="11.25" customHeight="1">
      <c r="A259" s="81" t="s">
        <v>92</v>
      </c>
      <c r="B259" s="82" t="s">
        <v>148</v>
      </c>
      <c r="C259" s="82" t="s">
        <v>93</v>
      </c>
      <c r="D259" s="82" t="s">
        <v>94</v>
      </c>
      <c r="E259" s="82" t="s">
        <v>2</v>
      </c>
      <c r="F259" s="82"/>
      <c r="G259" s="104">
        <f>G260</f>
        <v>170000</v>
      </c>
      <c r="H259" s="104"/>
      <c r="J259" s="133"/>
    </row>
    <row r="260" spans="1:10" s="45" customFormat="1" ht="14.25" customHeight="1">
      <c r="A260" s="43" t="s">
        <v>47</v>
      </c>
      <c r="B260" s="44" t="s">
        <v>148</v>
      </c>
      <c r="C260" s="44" t="s">
        <v>93</v>
      </c>
      <c r="D260" s="44" t="s">
        <v>94</v>
      </c>
      <c r="E260" s="44" t="s">
        <v>48</v>
      </c>
      <c r="F260" s="44"/>
      <c r="G260" s="57">
        <f>G261</f>
        <v>170000</v>
      </c>
      <c r="H260" s="61"/>
      <c r="J260" s="133"/>
    </row>
    <row r="261" spans="1:10" s="21" customFormat="1" ht="30" customHeight="1">
      <c r="A261" s="12" t="s">
        <v>41</v>
      </c>
      <c r="B261" s="20"/>
      <c r="C261" s="20"/>
      <c r="D261" s="20"/>
      <c r="E261" s="20"/>
      <c r="F261" s="20"/>
      <c r="G261" s="57">
        <v>170000</v>
      </c>
      <c r="H261" s="57"/>
      <c r="J261" s="137"/>
    </row>
    <row r="262" spans="1:10" s="15" customFormat="1" ht="12.75">
      <c r="A262" s="47" t="s">
        <v>228</v>
      </c>
      <c r="B262" s="48" t="s">
        <v>149</v>
      </c>
      <c r="C262" s="48" t="s">
        <v>88</v>
      </c>
      <c r="D262" s="48" t="s">
        <v>2</v>
      </c>
      <c r="E262" s="48"/>
      <c r="F262" s="48"/>
      <c r="G262" s="51">
        <f>G263</f>
        <v>1100000</v>
      </c>
      <c r="H262" s="51"/>
      <c r="J262" s="132"/>
    </row>
    <row r="263" spans="1:10" s="45" customFormat="1" ht="25.5">
      <c r="A263" s="10" t="s">
        <v>248</v>
      </c>
      <c r="B263" s="44" t="s">
        <v>149</v>
      </c>
      <c r="C263" s="44" t="s">
        <v>82</v>
      </c>
      <c r="D263" s="44" t="s">
        <v>69</v>
      </c>
      <c r="E263" s="44"/>
      <c r="F263" s="44"/>
      <c r="G263" s="61">
        <f>G264</f>
        <v>1100000</v>
      </c>
      <c r="H263" s="61"/>
      <c r="J263" s="133"/>
    </row>
    <row r="264" spans="1:10" s="21" customFormat="1" ht="27.75" customHeight="1">
      <c r="A264" s="12" t="s">
        <v>37</v>
      </c>
      <c r="B264" s="20" t="s">
        <v>149</v>
      </c>
      <c r="C264" s="20" t="s">
        <v>82</v>
      </c>
      <c r="D264" s="20" t="s">
        <v>69</v>
      </c>
      <c r="E264" s="20" t="s">
        <v>38</v>
      </c>
      <c r="F264" s="20"/>
      <c r="G264" s="57">
        <f>G265</f>
        <v>1100000</v>
      </c>
      <c r="H264" s="57"/>
      <c r="J264" s="137"/>
    </row>
    <row r="265" spans="1:10" s="21" customFormat="1" ht="30" customHeight="1">
      <c r="A265" s="19" t="s">
        <v>41</v>
      </c>
      <c r="B265" s="20"/>
      <c r="C265" s="20"/>
      <c r="D265" s="20"/>
      <c r="E265" s="20"/>
      <c r="F265" s="20" t="s">
        <v>192</v>
      </c>
      <c r="G265" s="57">
        <f>G287</f>
        <v>1100000</v>
      </c>
      <c r="H265" s="57"/>
      <c r="I265" s="106"/>
      <c r="J265" s="137"/>
    </row>
    <row r="266" spans="1:10" s="21" customFormat="1" ht="25.5" hidden="1">
      <c r="A266" s="16" t="s">
        <v>226</v>
      </c>
      <c r="B266" s="20"/>
      <c r="C266" s="20"/>
      <c r="D266" s="20"/>
      <c r="E266" s="20"/>
      <c r="F266" s="20"/>
      <c r="G266" s="57"/>
      <c r="H266" s="57"/>
      <c r="J266" s="137"/>
    </row>
    <row r="267" spans="1:10" s="21" customFormat="1" ht="51" hidden="1">
      <c r="A267" s="103" t="s">
        <v>227</v>
      </c>
      <c r="B267" s="20"/>
      <c r="C267" s="20"/>
      <c r="D267" s="20"/>
      <c r="E267" s="20"/>
      <c r="F267" s="20"/>
      <c r="G267" s="57"/>
      <c r="H267" s="57"/>
      <c r="J267" s="137"/>
    </row>
    <row r="268" spans="1:10" s="21" customFormat="1" ht="38.25" hidden="1">
      <c r="A268" s="35" t="s">
        <v>95</v>
      </c>
      <c r="B268" s="20"/>
      <c r="C268" s="20"/>
      <c r="D268" s="20"/>
      <c r="E268" s="20"/>
      <c r="F268" s="20"/>
      <c r="G268" s="57"/>
      <c r="H268" s="57"/>
      <c r="J268" s="137"/>
    </row>
    <row r="269" spans="1:10" s="21" customFormat="1" ht="23.25" customHeight="1" hidden="1">
      <c r="A269" s="35" t="s">
        <v>96</v>
      </c>
      <c r="B269" s="20"/>
      <c r="C269" s="20"/>
      <c r="D269" s="20"/>
      <c r="E269" s="20"/>
      <c r="F269" s="20"/>
      <c r="G269" s="57"/>
      <c r="H269" s="57"/>
      <c r="J269" s="137"/>
    </row>
    <row r="270" spans="1:10" s="21" customFormat="1" ht="12.75" hidden="1">
      <c r="A270" s="36" t="s">
        <v>97</v>
      </c>
      <c r="B270" s="20"/>
      <c r="C270" s="20"/>
      <c r="D270" s="20"/>
      <c r="E270" s="20"/>
      <c r="F270" s="20"/>
      <c r="G270" s="57"/>
      <c r="H270" s="57"/>
      <c r="J270" s="137"/>
    </row>
    <row r="271" spans="1:10" s="21" customFormat="1" ht="12.75" hidden="1">
      <c r="A271" s="35" t="s">
        <v>98</v>
      </c>
      <c r="B271" s="20"/>
      <c r="C271" s="20"/>
      <c r="D271" s="20"/>
      <c r="E271" s="20"/>
      <c r="F271" s="20"/>
      <c r="G271" s="57"/>
      <c r="H271" s="57"/>
      <c r="J271" s="137"/>
    </row>
    <row r="272" spans="1:10" s="21" customFormat="1" ht="12.75" hidden="1">
      <c r="A272" s="37" t="s">
        <v>99</v>
      </c>
      <c r="B272" s="20"/>
      <c r="C272" s="20"/>
      <c r="D272" s="20"/>
      <c r="E272" s="20"/>
      <c r="F272" s="20"/>
      <c r="G272" s="57"/>
      <c r="H272" s="57"/>
      <c r="J272" s="137"/>
    </row>
    <row r="273" spans="1:10" s="21" customFormat="1" ht="25.5" hidden="1">
      <c r="A273" s="38" t="s">
        <v>100</v>
      </c>
      <c r="B273" s="20"/>
      <c r="C273" s="20"/>
      <c r="D273" s="20"/>
      <c r="E273" s="20"/>
      <c r="F273" s="20"/>
      <c r="G273" s="57"/>
      <c r="H273" s="57"/>
      <c r="J273" s="137"/>
    </row>
    <row r="274" spans="1:10" s="21" customFormat="1" ht="12.75" hidden="1">
      <c r="A274" s="39" t="s">
        <v>101</v>
      </c>
      <c r="B274" s="20"/>
      <c r="C274" s="20"/>
      <c r="D274" s="20"/>
      <c r="E274" s="20"/>
      <c r="F274" s="20"/>
      <c r="G274" s="57"/>
      <c r="H274" s="57"/>
      <c r="J274" s="137"/>
    </row>
    <row r="275" spans="1:10" s="21" customFormat="1" ht="12.75" hidden="1">
      <c r="A275" s="39" t="s">
        <v>102</v>
      </c>
      <c r="B275" s="20"/>
      <c r="C275" s="20"/>
      <c r="D275" s="20"/>
      <c r="E275" s="20"/>
      <c r="F275" s="20"/>
      <c r="G275" s="57"/>
      <c r="H275" s="57"/>
      <c r="J275" s="137"/>
    </row>
    <row r="276" spans="1:10" s="21" customFormat="1" ht="25.5" hidden="1">
      <c r="A276" s="40" t="s">
        <v>103</v>
      </c>
      <c r="B276" s="20"/>
      <c r="C276" s="20"/>
      <c r="D276" s="20"/>
      <c r="E276" s="20"/>
      <c r="F276" s="20"/>
      <c r="G276" s="57"/>
      <c r="H276" s="57"/>
      <c r="J276" s="137"/>
    </row>
    <row r="277" spans="1:10" s="21" customFormat="1" ht="25.5" hidden="1">
      <c r="A277" s="40" t="s">
        <v>104</v>
      </c>
      <c r="B277" s="20"/>
      <c r="C277" s="20"/>
      <c r="D277" s="20"/>
      <c r="E277" s="20"/>
      <c r="F277" s="20"/>
      <c r="G277" s="57"/>
      <c r="H277" s="57"/>
      <c r="J277" s="137"/>
    </row>
    <row r="278" spans="1:10" s="21" customFormat="1" ht="12.75" hidden="1">
      <c r="A278" s="41" t="s">
        <v>105</v>
      </c>
      <c r="B278" s="20"/>
      <c r="C278" s="20"/>
      <c r="D278" s="20"/>
      <c r="E278" s="20"/>
      <c r="F278" s="20"/>
      <c r="G278" s="57"/>
      <c r="H278" s="57"/>
      <c r="J278" s="137"/>
    </row>
    <row r="279" spans="1:10" s="21" customFormat="1" ht="12.75" hidden="1">
      <c r="A279" s="42" t="s">
        <v>106</v>
      </c>
      <c r="B279" s="20"/>
      <c r="C279" s="20"/>
      <c r="D279" s="20"/>
      <c r="E279" s="20"/>
      <c r="F279" s="20"/>
      <c r="G279" s="57"/>
      <c r="H279" s="57"/>
      <c r="J279" s="137"/>
    </row>
    <row r="280" spans="1:10" s="21" customFormat="1" ht="12.75" hidden="1">
      <c r="A280" s="42" t="s">
        <v>107</v>
      </c>
      <c r="B280" s="20"/>
      <c r="C280" s="20"/>
      <c r="D280" s="20"/>
      <c r="E280" s="20"/>
      <c r="F280" s="20"/>
      <c r="G280" s="57"/>
      <c r="H280" s="57"/>
      <c r="J280" s="137"/>
    </row>
    <row r="281" spans="1:10" s="21" customFormat="1" ht="12.75" hidden="1">
      <c r="A281" s="42" t="s">
        <v>108</v>
      </c>
      <c r="B281" s="20"/>
      <c r="C281" s="20"/>
      <c r="D281" s="20"/>
      <c r="E281" s="20"/>
      <c r="F281" s="20"/>
      <c r="G281" s="57"/>
      <c r="H281" s="57"/>
      <c r="J281" s="137"/>
    </row>
    <row r="282" spans="1:10" s="21" customFormat="1" ht="12.75" hidden="1">
      <c r="A282" s="37" t="s">
        <v>109</v>
      </c>
      <c r="B282" s="20"/>
      <c r="C282" s="20"/>
      <c r="D282" s="20"/>
      <c r="E282" s="20"/>
      <c r="F282" s="20"/>
      <c r="G282" s="57"/>
      <c r="H282" s="57"/>
      <c r="J282" s="137"/>
    </row>
    <row r="283" spans="1:10" s="21" customFormat="1" ht="12.75" hidden="1">
      <c r="A283" s="37" t="s">
        <v>110</v>
      </c>
      <c r="B283" s="20"/>
      <c r="C283" s="20"/>
      <c r="D283" s="20"/>
      <c r="E283" s="20"/>
      <c r="F283" s="20"/>
      <c r="G283" s="57"/>
      <c r="H283" s="57"/>
      <c r="J283" s="137"/>
    </row>
    <row r="284" spans="1:10" s="21" customFormat="1" ht="12.75" hidden="1">
      <c r="A284" s="37" t="s">
        <v>111</v>
      </c>
      <c r="B284" s="20"/>
      <c r="C284" s="20"/>
      <c r="D284" s="20"/>
      <c r="E284" s="20"/>
      <c r="F284" s="20"/>
      <c r="G284" s="57"/>
      <c r="H284" s="57"/>
      <c r="J284" s="137"/>
    </row>
    <row r="285" spans="1:10" s="21" customFormat="1" ht="12.75" hidden="1">
      <c r="A285" s="34" t="s">
        <v>112</v>
      </c>
      <c r="B285" s="20"/>
      <c r="C285" s="20"/>
      <c r="D285" s="20"/>
      <c r="E285" s="20"/>
      <c r="F285" s="20"/>
      <c r="G285" s="57"/>
      <c r="H285" s="57"/>
      <c r="J285" s="137"/>
    </row>
    <row r="286" spans="1:10" s="21" customFormat="1" ht="25.5" hidden="1">
      <c r="A286" s="47" t="s">
        <v>204</v>
      </c>
      <c r="B286" s="48" t="s">
        <v>149</v>
      </c>
      <c r="C286" s="48" t="s">
        <v>205</v>
      </c>
      <c r="D286" s="48" t="s">
        <v>206</v>
      </c>
      <c r="E286" s="48" t="s">
        <v>2</v>
      </c>
      <c r="F286" s="48"/>
      <c r="G286" s="57"/>
      <c r="H286" s="57"/>
      <c r="J286" s="137"/>
    </row>
    <row r="287" spans="1:10" s="45" customFormat="1" ht="39.75" customHeight="1">
      <c r="A287" s="16" t="s">
        <v>249</v>
      </c>
      <c r="B287" s="44"/>
      <c r="C287" s="44"/>
      <c r="D287" s="44"/>
      <c r="E287" s="44"/>
      <c r="F287" s="44"/>
      <c r="G287" s="54">
        <v>1100000</v>
      </c>
      <c r="H287" s="61"/>
      <c r="J287" s="133"/>
    </row>
    <row r="288" spans="1:10" s="45" customFormat="1" ht="30.75" customHeight="1">
      <c r="A288" s="47" t="s">
        <v>297</v>
      </c>
      <c r="B288" s="82" t="s">
        <v>298</v>
      </c>
      <c r="C288" s="82" t="s">
        <v>88</v>
      </c>
      <c r="D288" s="82" t="s">
        <v>2</v>
      </c>
      <c r="E288" s="82"/>
      <c r="F288" s="82"/>
      <c r="G288" s="51">
        <f>G289</f>
        <v>1172387</v>
      </c>
      <c r="H288" s="104"/>
      <c r="J288" s="133"/>
    </row>
    <row r="289" spans="1:10" s="45" customFormat="1" ht="30" customHeight="1">
      <c r="A289" s="16" t="s">
        <v>299</v>
      </c>
      <c r="B289" s="44" t="s">
        <v>300</v>
      </c>
      <c r="C289" s="44" t="s">
        <v>301</v>
      </c>
      <c r="D289" s="44" t="s">
        <v>302</v>
      </c>
      <c r="E289" s="44"/>
      <c r="F289" s="44"/>
      <c r="G289" s="54">
        <v>1172387</v>
      </c>
      <c r="H289" s="61"/>
      <c r="J289" s="133"/>
    </row>
    <row r="290" spans="1:10" s="45" customFormat="1" ht="39.75" customHeight="1">
      <c r="A290" s="47" t="s">
        <v>250</v>
      </c>
      <c r="B290" s="82" t="s">
        <v>252</v>
      </c>
      <c r="C290" s="82" t="s">
        <v>88</v>
      </c>
      <c r="D290" s="82"/>
      <c r="E290" s="82"/>
      <c r="F290" s="82"/>
      <c r="G290" s="51">
        <f>G291+G292+G297</f>
        <v>1148021</v>
      </c>
      <c r="H290" s="104"/>
      <c r="J290" s="133"/>
    </row>
    <row r="291" spans="1:10" s="45" customFormat="1" ht="39.75" customHeight="1">
      <c r="A291" s="10" t="s">
        <v>251</v>
      </c>
      <c r="B291" s="44" t="s">
        <v>253</v>
      </c>
      <c r="C291" s="44" t="s">
        <v>254</v>
      </c>
      <c r="D291" s="44" t="s">
        <v>255</v>
      </c>
      <c r="E291" s="44" t="s">
        <v>2</v>
      </c>
      <c r="F291" s="44"/>
      <c r="G291" s="52">
        <v>352171</v>
      </c>
      <c r="H291" s="61"/>
      <c r="J291" s="133"/>
    </row>
    <row r="292" spans="1:10" s="45" customFormat="1" ht="39.75" customHeight="1">
      <c r="A292" s="10" t="s">
        <v>260</v>
      </c>
      <c r="B292" s="44" t="s">
        <v>150</v>
      </c>
      <c r="C292" s="44" t="s">
        <v>113</v>
      </c>
      <c r="D292" s="44" t="s">
        <v>2</v>
      </c>
      <c r="E292" s="44"/>
      <c r="F292" s="44"/>
      <c r="G292" s="52">
        <f>G293</f>
        <v>445850</v>
      </c>
      <c r="H292" s="61"/>
      <c r="J292" s="133"/>
    </row>
    <row r="293" spans="1:10" s="68" customFormat="1" ht="57.75" customHeight="1">
      <c r="A293" s="149" t="s">
        <v>114</v>
      </c>
      <c r="B293" s="70" t="s">
        <v>150</v>
      </c>
      <c r="C293" s="88" t="s">
        <v>113</v>
      </c>
      <c r="D293" s="88" t="s">
        <v>43</v>
      </c>
      <c r="E293" s="88" t="s">
        <v>2</v>
      </c>
      <c r="F293" s="88"/>
      <c r="G293" s="67">
        <f>G294</f>
        <v>445850</v>
      </c>
      <c r="H293" s="67"/>
      <c r="I293" s="107"/>
      <c r="J293" s="141"/>
    </row>
    <row r="294" spans="1:10" s="68" customFormat="1" ht="20.25" customHeight="1">
      <c r="A294" s="152" t="s">
        <v>15</v>
      </c>
      <c r="B294" s="153" t="s">
        <v>150</v>
      </c>
      <c r="C294" s="153" t="s">
        <v>113</v>
      </c>
      <c r="D294" s="153" t="s">
        <v>43</v>
      </c>
      <c r="E294" s="153" t="s">
        <v>16</v>
      </c>
      <c r="F294" s="156"/>
      <c r="G294" s="157">
        <f>G295</f>
        <v>445850</v>
      </c>
      <c r="H294" s="151"/>
      <c r="I294" s="107"/>
      <c r="J294" s="141"/>
    </row>
    <row r="295" spans="1:10" s="68" customFormat="1" ht="14.25" customHeight="1">
      <c r="A295" s="154" t="s">
        <v>37</v>
      </c>
      <c r="B295" s="153" t="s">
        <v>150</v>
      </c>
      <c r="C295" s="153" t="s">
        <v>113</v>
      </c>
      <c r="D295" s="153" t="s">
        <v>43</v>
      </c>
      <c r="E295" s="153" t="s">
        <v>38</v>
      </c>
      <c r="F295" s="150"/>
      <c r="G295" s="155">
        <f>G296</f>
        <v>445850</v>
      </c>
      <c r="H295" s="151"/>
      <c r="I295" s="107"/>
      <c r="J295" s="141"/>
    </row>
    <row r="296" spans="1:10" s="21" customFormat="1" ht="36" customHeight="1">
      <c r="A296" s="12" t="s">
        <v>303</v>
      </c>
      <c r="B296" s="20"/>
      <c r="C296" s="20"/>
      <c r="D296" s="20"/>
      <c r="E296" s="20"/>
      <c r="F296" s="20" t="s">
        <v>192</v>
      </c>
      <c r="G296" s="57">
        <f>445850</f>
        <v>445850</v>
      </c>
      <c r="H296" s="57"/>
      <c r="J296" s="137"/>
    </row>
    <row r="297" spans="1:10" s="21" customFormat="1" ht="36" customHeight="1">
      <c r="A297" s="22" t="s">
        <v>306</v>
      </c>
      <c r="B297" s="14" t="s">
        <v>305</v>
      </c>
      <c r="C297" s="14"/>
      <c r="D297" s="14"/>
      <c r="E297" s="14" t="s">
        <v>2</v>
      </c>
      <c r="F297" s="14"/>
      <c r="G297" s="53">
        <f>G298</f>
        <v>350000</v>
      </c>
      <c r="H297" s="57"/>
      <c r="J297" s="137"/>
    </row>
    <row r="298" spans="1:10" s="21" customFormat="1" ht="36" customHeight="1">
      <c r="A298" s="12" t="s">
        <v>15</v>
      </c>
      <c r="B298" s="20" t="s">
        <v>305</v>
      </c>
      <c r="C298" s="20"/>
      <c r="D298" s="20"/>
      <c r="E298" s="20" t="s">
        <v>16</v>
      </c>
      <c r="F298" s="20"/>
      <c r="G298" s="57">
        <f>G299</f>
        <v>350000</v>
      </c>
      <c r="H298" s="57"/>
      <c r="J298" s="137"/>
    </row>
    <row r="299" spans="1:10" s="21" customFormat="1" ht="36" customHeight="1">
      <c r="A299" s="168" t="s">
        <v>37</v>
      </c>
      <c r="B299" s="17" t="s">
        <v>305</v>
      </c>
      <c r="C299" s="17"/>
      <c r="D299" s="17"/>
      <c r="E299" s="17" t="s">
        <v>38</v>
      </c>
      <c r="F299" s="17"/>
      <c r="G299" s="54">
        <f>G300</f>
        <v>350000</v>
      </c>
      <c r="H299" s="57"/>
      <c r="J299" s="137"/>
    </row>
    <row r="300" spans="1:10" s="21" customFormat="1" ht="36" customHeight="1">
      <c r="A300" s="12" t="s">
        <v>303</v>
      </c>
      <c r="B300" s="20"/>
      <c r="C300" s="20"/>
      <c r="D300" s="20"/>
      <c r="E300" s="20"/>
      <c r="F300" s="20" t="s">
        <v>192</v>
      </c>
      <c r="G300" s="57">
        <f>G301</f>
        <v>350000</v>
      </c>
      <c r="H300" s="57"/>
      <c r="J300" s="137"/>
    </row>
    <row r="301" spans="1:10" s="15" customFormat="1" ht="31.5" customHeight="1">
      <c r="A301" s="168" t="s">
        <v>304</v>
      </c>
      <c r="B301" s="17"/>
      <c r="C301" s="17"/>
      <c r="D301" s="17"/>
      <c r="E301" s="17"/>
      <c r="F301" s="17"/>
      <c r="G301" s="54">
        <v>350000</v>
      </c>
      <c r="H301" s="53"/>
      <c r="J301" s="132"/>
    </row>
    <row r="302" spans="1:10" s="15" customFormat="1" ht="14.25" customHeight="1">
      <c r="A302" s="47" t="s">
        <v>62</v>
      </c>
      <c r="B302" s="48" t="s">
        <v>151</v>
      </c>
      <c r="C302" s="48" t="s">
        <v>88</v>
      </c>
      <c r="D302" s="48" t="s">
        <v>2</v>
      </c>
      <c r="E302" s="48"/>
      <c r="F302" s="48"/>
      <c r="G302" s="51">
        <f>G303</f>
        <v>336575.4</v>
      </c>
      <c r="H302" s="51"/>
      <c r="J302" s="132"/>
    </row>
    <row r="303" spans="1:10" s="45" customFormat="1" ht="25.5" customHeight="1">
      <c r="A303" s="43" t="s">
        <v>63</v>
      </c>
      <c r="B303" s="44" t="s">
        <v>152</v>
      </c>
      <c r="C303" s="44" t="s">
        <v>88</v>
      </c>
      <c r="D303" s="44" t="s">
        <v>2</v>
      </c>
      <c r="E303" s="44"/>
      <c r="F303" s="44"/>
      <c r="G303" s="61">
        <f>SUM(G304,G309)</f>
        <v>336575.4</v>
      </c>
      <c r="H303" s="61"/>
      <c r="J303" s="133"/>
    </row>
    <row r="304" spans="1:10" s="15" customFormat="1" ht="31.5" customHeight="1">
      <c r="A304" s="10" t="s">
        <v>115</v>
      </c>
      <c r="B304" s="44" t="s">
        <v>152</v>
      </c>
      <c r="C304" s="14" t="s">
        <v>116</v>
      </c>
      <c r="D304" s="14" t="s">
        <v>2</v>
      </c>
      <c r="E304" s="14" t="s">
        <v>2</v>
      </c>
      <c r="F304" s="14"/>
      <c r="G304" s="53"/>
      <c r="H304" s="53"/>
      <c r="J304" s="132"/>
    </row>
    <row r="305" spans="1:10" s="45" customFormat="1" ht="26.25" customHeight="1">
      <c r="A305" s="43" t="s">
        <v>117</v>
      </c>
      <c r="B305" s="44" t="s">
        <v>152</v>
      </c>
      <c r="C305" s="44" t="s">
        <v>118</v>
      </c>
      <c r="D305" s="44" t="s">
        <v>119</v>
      </c>
      <c r="E305" s="44"/>
      <c r="F305" s="44"/>
      <c r="G305" s="61">
        <f>G308</f>
        <v>336575.4</v>
      </c>
      <c r="H305" s="61"/>
      <c r="J305" s="133"/>
    </row>
    <row r="306" spans="1:10" s="15" customFormat="1" ht="12.75" customHeight="1">
      <c r="A306" s="43" t="s">
        <v>37</v>
      </c>
      <c r="B306" s="14" t="s">
        <v>152</v>
      </c>
      <c r="C306" s="14" t="s">
        <v>118</v>
      </c>
      <c r="D306" s="14" t="s">
        <v>119</v>
      </c>
      <c r="E306" s="14" t="s">
        <v>38</v>
      </c>
      <c r="F306" s="14"/>
      <c r="G306" s="53"/>
      <c r="H306" s="53"/>
      <c r="J306" s="132"/>
    </row>
    <row r="307" spans="1:10" s="15" customFormat="1" ht="27.75" customHeight="1">
      <c r="A307" s="12" t="s">
        <v>41</v>
      </c>
      <c r="B307" s="20"/>
      <c r="C307" s="20"/>
      <c r="D307" s="20"/>
      <c r="E307" s="20"/>
      <c r="F307" s="20" t="s">
        <v>192</v>
      </c>
      <c r="G307" s="53"/>
      <c r="H307" s="53"/>
      <c r="J307" s="132"/>
    </row>
    <row r="308" spans="1:10" s="45" customFormat="1" ht="18" customHeight="1">
      <c r="A308" s="43" t="s">
        <v>120</v>
      </c>
      <c r="B308" s="44" t="s">
        <v>152</v>
      </c>
      <c r="C308" s="44" t="s">
        <v>118</v>
      </c>
      <c r="D308" s="44" t="s">
        <v>119</v>
      </c>
      <c r="E308" s="44" t="s">
        <v>2</v>
      </c>
      <c r="F308" s="44"/>
      <c r="G308" s="61">
        <f>SUM(G310:G315)</f>
        <v>336575.4</v>
      </c>
      <c r="H308" s="61"/>
      <c r="J308" s="133"/>
    </row>
    <row r="309" spans="1:10" s="15" customFormat="1" ht="16.5" customHeight="1">
      <c r="A309" s="10" t="s">
        <v>4</v>
      </c>
      <c r="B309" s="14" t="s">
        <v>152</v>
      </c>
      <c r="C309" s="14" t="s">
        <v>201</v>
      </c>
      <c r="D309" s="14" t="s">
        <v>119</v>
      </c>
      <c r="E309" s="14" t="s">
        <v>5</v>
      </c>
      <c r="F309" s="14"/>
      <c r="G309" s="53">
        <f>SUM(G310,G311,G315)</f>
        <v>336575.4</v>
      </c>
      <c r="H309" s="53"/>
      <c r="J309" s="132"/>
    </row>
    <row r="310" spans="1:10" s="18" customFormat="1" ht="15.75" customHeight="1">
      <c r="A310" s="16" t="s">
        <v>6</v>
      </c>
      <c r="B310" s="27" t="s">
        <v>152</v>
      </c>
      <c r="C310" s="27" t="s">
        <v>201</v>
      </c>
      <c r="D310" s="27" t="s">
        <v>119</v>
      </c>
      <c r="E310" s="17" t="s">
        <v>7</v>
      </c>
      <c r="F310" s="17"/>
      <c r="G310" s="54">
        <v>266700</v>
      </c>
      <c r="H310" s="54"/>
      <c r="J310" s="136"/>
    </row>
    <row r="311" spans="1:10" s="18" customFormat="1" ht="22.5" customHeight="1" hidden="1">
      <c r="A311" s="16" t="s">
        <v>8</v>
      </c>
      <c r="B311" s="27" t="s">
        <v>152</v>
      </c>
      <c r="C311" s="27" t="s">
        <v>201</v>
      </c>
      <c r="D311" s="27" t="s">
        <v>119</v>
      </c>
      <c r="E311" s="17" t="s">
        <v>9</v>
      </c>
      <c r="F311" s="17"/>
      <c r="G311" s="54">
        <f>SUM(G312:G314)</f>
        <v>0</v>
      </c>
      <c r="H311" s="54"/>
      <c r="J311" s="136"/>
    </row>
    <row r="312" spans="1:10" ht="1.5" customHeight="1" hidden="1">
      <c r="A312" s="11" t="s">
        <v>10</v>
      </c>
      <c r="B312" s="4"/>
      <c r="C312" s="4"/>
      <c r="D312" s="4"/>
      <c r="E312" s="4"/>
      <c r="F312" s="4"/>
      <c r="G312" s="55"/>
      <c r="H312" s="55"/>
      <c r="J312" s="126"/>
    </row>
    <row r="313" spans="1:10" ht="21" customHeight="1" hidden="1">
      <c r="A313" s="12" t="s">
        <v>11</v>
      </c>
      <c r="B313" s="4"/>
      <c r="C313" s="4"/>
      <c r="D313" s="4"/>
      <c r="E313" s="4"/>
      <c r="F313" s="4"/>
      <c r="G313" s="55"/>
      <c r="H313" s="55"/>
      <c r="J313" s="126"/>
    </row>
    <row r="314" spans="1:10" ht="24" customHeight="1" hidden="1">
      <c r="A314" s="6" t="s">
        <v>12</v>
      </c>
      <c r="B314" s="4"/>
      <c r="C314" s="4"/>
      <c r="D314" s="4"/>
      <c r="E314" s="4"/>
      <c r="F314" s="4" t="s">
        <v>184</v>
      </c>
      <c r="G314" s="55"/>
      <c r="H314" s="55"/>
      <c r="J314" s="126"/>
    </row>
    <row r="315" spans="1:10" s="18" customFormat="1" ht="15" customHeight="1">
      <c r="A315" s="16" t="s">
        <v>13</v>
      </c>
      <c r="B315" s="27" t="s">
        <v>152</v>
      </c>
      <c r="C315" s="27" t="s">
        <v>201</v>
      </c>
      <c r="D315" s="27" t="s">
        <v>119</v>
      </c>
      <c r="E315" s="17" t="s">
        <v>14</v>
      </c>
      <c r="F315" s="17"/>
      <c r="G315" s="54">
        <f>G310*26.2%</f>
        <v>69875.40000000001</v>
      </c>
      <c r="H315" s="54"/>
      <c r="J315" s="136"/>
    </row>
    <row r="316" spans="1:10" s="18" customFormat="1" ht="27.75" customHeight="1" hidden="1">
      <c r="A316" s="10" t="s">
        <v>15</v>
      </c>
      <c r="B316" s="44" t="s">
        <v>152</v>
      </c>
      <c r="C316" s="44" t="s">
        <v>201</v>
      </c>
      <c r="D316" s="44" t="s">
        <v>119</v>
      </c>
      <c r="E316" s="14" t="s">
        <v>16</v>
      </c>
      <c r="F316" s="14"/>
      <c r="G316" s="54"/>
      <c r="H316" s="54"/>
      <c r="J316" s="136"/>
    </row>
    <row r="317" spans="1:10" s="18" customFormat="1" ht="21" customHeight="1" hidden="1">
      <c r="A317" s="16" t="s">
        <v>17</v>
      </c>
      <c r="B317" s="27" t="s">
        <v>152</v>
      </c>
      <c r="C317" s="27" t="s">
        <v>201</v>
      </c>
      <c r="D317" s="27" t="s">
        <v>119</v>
      </c>
      <c r="E317" s="17" t="s">
        <v>18</v>
      </c>
      <c r="F317" s="17"/>
      <c r="G317" s="54"/>
      <c r="H317" s="54"/>
      <c r="J317" s="136"/>
    </row>
    <row r="318" spans="1:10" s="18" customFormat="1" ht="28.5" customHeight="1" hidden="1">
      <c r="A318" s="16" t="s">
        <v>21</v>
      </c>
      <c r="B318" s="27" t="s">
        <v>152</v>
      </c>
      <c r="C318" s="27" t="s">
        <v>201</v>
      </c>
      <c r="D318" s="27" t="s">
        <v>119</v>
      </c>
      <c r="E318" s="17" t="s">
        <v>19</v>
      </c>
      <c r="F318" s="17"/>
      <c r="G318" s="54"/>
      <c r="H318" s="54"/>
      <c r="J318" s="136"/>
    </row>
    <row r="319" spans="1:10" s="18" customFormat="1" ht="30" customHeight="1" hidden="1">
      <c r="A319" s="11" t="s">
        <v>20</v>
      </c>
      <c r="B319" s="4"/>
      <c r="C319" s="4"/>
      <c r="D319" s="4"/>
      <c r="E319" s="4"/>
      <c r="F319" s="4" t="s">
        <v>183</v>
      </c>
      <c r="G319" s="54"/>
      <c r="H319" s="54"/>
      <c r="J319" s="136"/>
    </row>
    <row r="320" spans="1:10" s="21" customFormat="1" ht="12.75" hidden="1">
      <c r="A320" s="19"/>
      <c r="B320" s="20"/>
      <c r="C320" s="20"/>
      <c r="D320" s="20"/>
      <c r="E320" s="20"/>
      <c r="F320" s="20"/>
      <c r="G320" s="57"/>
      <c r="H320" s="57"/>
      <c r="J320" s="137"/>
    </row>
    <row r="321" spans="1:10" s="15" customFormat="1" ht="12.75">
      <c r="A321" s="159" t="s">
        <v>64</v>
      </c>
      <c r="B321" s="48" t="s">
        <v>153</v>
      </c>
      <c r="C321" s="48" t="s">
        <v>88</v>
      </c>
      <c r="D321" s="48" t="s">
        <v>2</v>
      </c>
      <c r="E321" s="48"/>
      <c r="F321" s="48"/>
      <c r="G321" s="51">
        <f>G334</f>
        <v>8725300</v>
      </c>
      <c r="H321" s="51"/>
      <c r="J321" s="132"/>
    </row>
    <row r="322" spans="1:10" s="45" customFormat="1" ht="12.75" hidden="1">
      <c r="A322" s="43" t="s">
        <v>65</v>
      </c>
      <c r="B322" s="44" t="s">
        <v>154</v>
      </c>
      <c r="C322" s="44" t="s">
        <v>88</v>
      </c>
      <c r="D322" s="44" t="s">
        <v>2</v>
      </c>
      <c r="E322" s="44"/>
      <c r="F322" s="44"/>
      <c r="G322" s="61">
        <f>SUM(H322:H322)</f>
        <v>0</v>
      </c>
      <c r="H322" s="61">
        <f>SUM(H326:H332)</f>
        <v>0</v>
      </c>
      <c r="J322" s="133"/>
    </row>
    <row r="323" spans="1:10" s="68" customFormat="1" ht="12.75" hidden="1">
      <c r="A323" s="66" t="s">
        <v>121</v>
      </c>
      <c r="B323" s="50" t="s">
        <v>154</v>
      </c>
      <c r="C323" s="50" t="s">
        <v>122</v>
      </c>
      <c r="D323" s="50" t="s">
        <v>2</v>
      </c>
      <c r="E323" s="50"/>
      <c r="F323" s="50"/>
      <c r="G323" s="67"/>
      <c r="H323" s="67"/>
      <c r="J323" s="141"/>
    </row>
    <row r="324" spans="1:10" s="45" customFormat="1" ht="12.75" hidden="1">
      <c r="A324" s="43" t="s">
        <v>217</v>
      </c>
      <c r="B324" s="44" t="s">
        <v>154</v>
      </c>
      <c r="C324" s="44" t="s">
        <v>122</v>
      </c>
      <c r="D324" s="44" t="s">
        <v>123</v>
      </c>
      <c r="E324" s="44"/>
      <c r="F324" s="44"/>
      <c r="G324" s="61"/>
      <c r="H324" s="61"/>
      <c r="J324" s="133"/>
    </row>
    <row r="325" spans="1:10" s="45" customFormat="1" ht="25.5" hidden="1">
      <c r="A325" s="43" t="s">
        <v>213</v>
      </c>
      <c r="B325" s="44" t="s">
        <v>154</v>
      </c>
      <c r="C325" s="44" t="s">
        <v>122</v>
      </c>
      <c r="D325" s="44" t="s">
        <v>123</v>
      </c>
      <c r="E325" s="44" t="s">
        <v>212</v>
      </c>
      <c r="F325" s="44"/>
      <c r="G325" s="61"/>
      <c r="H325" s="61"/>
      <c r="J325" s="133"/>
    </row>
    <row r="326" spans="1:10" s="21" customFormat="1" ht="25.5" hidden="1">
      <c r="A326" s="19" t="s">
        <v>216</v>
      </c>
      <c r="B326" s="20" t="s">
        <v>154</v>
      </c>
      <c r="C326" s="20" t="s">
        <v>122</v>
      </c>
      <c r="D326" s="20" t="s">
        <v>123</v>
      </c>
      <c r="E326" s="20" t="s">
        <v>211</v>
      </c>
      <c r="F326" s="20"/>
      <c r="G326" s="57">
        <f>SUM(H326:H326)</f>
        <v>0</v>
      </c>
      <c r="H326" s="57"/>
      <c r="J326" s="137"/>
    </row>
    <row r="327" spans="1:10" s="45" customFormat="1" ht="12.75" hidden="1">
      <c r="A327" s="43" t="s">
        <v>42</v>
      </c>
      <c r="B327" s="44" t="s">
        <v>154</v>
      </c>
      <c r="C327" s="44" t="s">
        <v>122</v>
      </c>
      <c r="D327" s="44" t="s">
        <v>123</v>
      </c>
      <c r="E327" s="44" t="s">
        <v>43</v>
      </c>
      <c r="F327" s="44"/>
      <c r="G327" s="61"/>
      <c r="H327" s="61"/>
      <c r="J327" s="133"/>
    </row>
    <row r="328" spans="1:10" s="21" customFormat="1" ht="12.75" hidden="1">
      <c r="A328" s="19" t="s">
        <v>44</v>
      </c>
      <c r="B328" s="20" t="s">
        <v>154</v>
      </c>
      <c r="C328" s="20" t="s">
        <v>122</v>
      </c>
      <c r="D328" s="20" t="s">
        <v>123</v>
      </c>
      <c r="E328" s="20" t="s">
        <v>45</v>
      </c>
      <c r="F328" s="20"/>
      <c r="G328" s="57"/>
      <c r="H328" s="57"/>
      <c r="J328" s="137"/>
    </row>
    <row r="329" spans="1:10" s="21" customFormat="1" ht="25.5" hidden="1">
      <c r="A329" s="19" t="s">
        <v>214</v>
      </c>
      <c r="B329" s="20"/>
      <c r="C329" s="20"/>
      <c r="D329" s="20"/>
      <c r="E329" s="20"/>
      <c r="F329" s="20" t="s">
        <v>210</v>
      </c>
      <c r="G329" s="57"/>
      <c r="H329" s="57"/>
      <c r="J329" s="137"/>
    </row>
    <row r="330" spans="1:10" s="45" customFormat="1" ht="38.25" hidden="1">
      <c r="A330" s="43" t="s">
        <v>218</v>
      </c>
      <c r="B330" s="44" t="s">
        <v>154</v>
      </c>
      <c r="C330" s="44" t="s">
        <v>122</v>
      </c>
      <c r="D330" s="44" t="s">
        <v>215</v>
      </c>
      <c r="E330" s="44"/>
      <c r="F330" s="44"/>
      <c r="G330" s="61"/>
      <c r="H330" s="61"/>
      <c r="J330" s="133"/>
    </row>
    <row r="331" spans="1:10" s="45" customFormat="1" ht="25.5" hidden="1">
      <c r="A331" s="43" t="s">
        <v>213</v>
      </c>
      <c r="B331" s="44" t="s">
        <v>154</v>
      </c>
      <c r="C331" s="44" t="s">
        <v>122</v>
      </c>
      <c r="D331" s="44" t="s">
        <v>215</v>
      </c>
      <c r="E331" s="44" t="s">
        <v>212</v>
      </c>
      <c r="F331" s="44"/>
      <c r="G331" s="61"/>
      <c r="H331" s="61"/>
      <c r="J331" s="133"/>
    </row>
    <row r="332" spans="1:10" s="21" customFormat="1" ht="25.5" hidden="1">
      <c r="A332" s="19" t="s">
        <v>216</v>
      </c>
      <c r="B332" s="20" t="s">
        <v>154</v>
      </c>
      <c r="C332" s="20" t="s">
        <v>122</v>
      </c>
      <c r="D332" s="20" t="s">
        <v>215</v>
      </c>
      <c r="E332" s="20" t="s">
        <v>211</v>
      </c>
      <c r="F332" s="20"/>
      <c r="G332" s="57">
        <f>SUM(H332:H332)</f>
        <v>0</v>
      </c>
      <c r="H332" s="57"/>
      <c r="J332" s="137"/>
    </row>
    <row r="333" spans="1:10" s="21" customFormat="1" ht="12.75" hidden="1">
      <c r="A333" s="19"/>
      <c r="B333" s="20"/>
      <c r="C333" s="20"/>
      <c r="D333" s="20"/>
      <c r="E333" s="20"/>
      <c r="F333" s="20"/>
      <c r="G333" s="57"/>
      <c r="H333" s="57"/>
      <c r="J333" s="137"/>
    </row>
    <row r="334" spans="1:10" s="45" customFormat="1" ht="12.75">
      <c r="A334" s="43" t="s">
        <v>66</v>
      </c>
      <c r="B334" s="44" t="s">
        <v>155</v>
      </c>
      <c r="C334" s="44" t="s">
        <v>88</v>
      </c>
      <c r="D334" s="44" t="s">
        <v>2</v>
      </c>
      <c r="E334" s="44"/>
      <c r="F334" s="44"/>
      <c r="G334" s="53">
        <f>G335</f>
        <v>8725300</v>
      </c>
      <c r="H334" s="61"/>
      <c r="J334" s="133"/>
    </row>
    <row r="335" spans="1:10" s="45" customFormat="1" ht="12.75">
      <c r="A335" s="43" t="s">
        <v>219</v>
      </c>
      <c r="B335" s="44" t="s">
        <v>155</v>
      </c>
      <c r="C335" s="44" t="s">
        <v>220</v>
      </c>
      <c r="D335" s="44" t="s">
        <v>2</v>
      </c>
      <c r="E335" s="44"/>
      <c r="F335" s="44"/>
      <c r="G335" s="61">
        <f>G336</f>
        <v>8725300</v>
      </c>
      <c r="H335" s="61"/>
      <c r="J335" s="133"/>
    </row>
    <row r="336" spans="1:10" s="45" customFormat="1" ht="25.5">
      <c r="A336" s="19" t="s">
        <v>261</v>
      </c>
      <c r="B336" s="44" t="s">
        <v>155</v>
      </c>
      <c r="C336" s="44" t="s">
        <v>220</v>
      </c>
      <c r="D336" s="44" t="s">
        <v>211</v>
      </c>
      <c r="E336" s="44"/>
      <c r="F336" s="44"/>
      <c r="G336" s="57">
        <f>G337+G338+G339</f>
        <v>8725300</v>
      </c>
      <c r="H336" s="61"/>
      <c r="J336" s="133"/>
    </row>
    <row r="337" spans="1:10" s="45" customFormat="1" ht="25.5">
      <c r="A337" s="19" t="s">
        <v>264</v>
      </c>
      <c r="B337" s="44"/>
      <c r="C337" s="44"/>
      <c r="D337" s="44"/>
      <c r="E337" s="44"/>
      <c r="F337" s="44"/>
      <c r="G337" s="57">
        <v>2084000</v>
      </c>
      <c r="H337" s="61"/>
      <c r="J337" s="133"/>
    </row>
    <row r="338" spans="1:10" s="45" customFormat="1" ht="12.75">
      <c r="A338" s="19" t="s">
        <v>262</v>
      </c>
      <c r="B338" s="44"/>
      <c r="C338" s="44"/>
      <c r="D338" s="44"/>
      <c r="E338" s="44"/>
      <c r="F338" s="44"/>
      <c r="G338" s="57">
        <v>1852000</v>
      </c>
      <c r="H338" s="61"/>
      <c r="J338" s="133"/>
    </row>
    <row r="339" spans="1:10" s="45" customFormat="1" ht="25.5">
      <c r="A339" s="19" t="s">
        <v>263</v>
      </c>
      <c r="B339" s="44"/>
      <c r="C339" s="44"/>
      <c r="D339" s="44"/>
      <c r="E339" s="44"/>
      <c r="F339" s="44"/>
      <c r="G339" s="57">
        <v>4789300</v>
      </c>
      <c r="H339" s="61"/>
      <c r="J339" s="133"/>
    </row>
    <row r="340" spans="1:10" s="21" customFormat="1" ht="25.5">
      <c r="A340" s="19" t="s">
        <v>216</v>
      </c>
      <c r="B340" s="20" t="s">
        <v>155</v>
      </c>
      <c r="C340" s="20" t="s">
        <v>84</v>
      </c>
      <c r="D340" s="20" t="s">
        <v>85</v>
      </c>
      <c r="E340" s="20" t="s">
        <v>211</v>
      </c>
      <c r="F340" s="20"/>
      <c r="G340" s="57">
        <f>SUM(H340:H340)</f>
        <v>0</v>
      </c>
      <c r="H340" s="57"/>
      <c r="J340" s="137"/>
    </row>
    <row r="341" spans="1:10" s="21" customFormat="1" ht="24.75" customHeight="1">
      <c r="A341" s="105" t="s">
        <v>229</v>
      </c>
      <c r="B341" s="25"/>
      <c r="C341" s="20"/>
      <c r="D341" s="20"/>
      <c r="E341" s="20"/>
      <c r="F341" s="20"/>
      <c r="G341" s="57"/>
      <c r="H341" s="57"/>
      <c r="J341" s="137"/>
    </row>
    <row r="342" spans="1:10" s="15" customFormat="1" ht="12.75" hidden="1">
      <c r="A342" s="23" t="s">
        <v>67</v>
      </c>
      <c r="B342" s="24" t="s">
        <v>156</v>
      </c>
      <c r="C342" s="24"/>
      <c r="D342" s="24"/>
      <c r="E342" s="24"/>
      <c r="F342" s="24"/>
      <c r="G342" s="62"/>
      <c r="H342" s="62"/>
      <c r="J342" s="132"/>
    </row>
    <row r="343" spans="1:10" s="15" customFormat="1" ht="12.75" hidden="1">
      <c r="A343" s="23" t="s">
        <v>68</v>
      </c>
      <c r="B343" s="24" t="s">
        <v>157</v>
      </c>
      <c r="C343" s="24" t="s">
        <v>142</v>
      </c>
      <c r="D343" s="24" t="s">
        <v>69</v>
      </c>
      <c r="E343" s="24"/>
      <c r="F343" s="24"/>
      <c r="G343" s="63">
        <f>SUM(H343:H343)</f>
        <v>0</v>
      </c>
      <c r="H343" s="63">
        <f>SUM(H344,H352,H372,H375,H377)</f>
        <v>0</v>
      </c>
      <c r="J343" s="132"/>
    </row>
    <row r="344" spans="1:10" s="45" customFormat="1" ht="14.25" customHeight="1" hidden="1">
      <c r="A344" s="43" t="s">
        <v>4</v>
      </c>
      <c r="B344" s="44" t="s">
        <v>157</v>
      </c>
      <c r="C344" s="44" t="s">
        <v>142</v>
      </c>
      <c r="D344" s="44" t="s">
        <v>69</v>
      </c>
      <c r="E344" s="44" t="s">
        <v>5</v>
      </c>
      <c r="F344" s="44"/>
      <c r="G344" s="61">
        <f>SUM(G345,G346,G351)</f>
        <v>0</v>
      </c>
      <c r="H344" s="61">
        <f>SUM(H345,H346,H351)</f>
        <v>0</v>
      </c>
      <c r="J344" s="133"/>
    </row>
    <row r="345" spans="1:10" s="21" customFormat="1" ht="12.75" hidden="1">
      <c r="A345" s="16" t="s">
        <v>6</v>
      </c>
      <c r="B345" s="27" t="s">
        <v>157</v>
      </c>
      <c r="C345" s="27" t="s">
        <v>142</v>
      </c>
      <c r="D345" s="27" t="s">
        <v>69</v>
      </c>
      <c r="E345" s="17" t="s">
        <v>7</v>
      </c>
      <c r="F345" s="17"/>
      <c r="G345" s="54">
        <f>SUM(H345:H345)</f>
        <v>0</v>
      </c>
      <c r="H345" s="54"/>
      <c r="J345" s="137"/>
    </row>
    <row r="346" spans="1:10" s="21" customFormat="1" ht="12.75" hidden="1">
      <c r="A346" s="16" t="s">
        <v>8</v>
      </c>
      <c r="B346" s="27" t="s">
        <v>157</v>
      </c>
      <c r="C346" s="27" t="s">
        <v>142</v>
      </c>
      <c r="D346" s="27" t="s">
        <v>69</v>
      </c>
      <c r="E346" s="17" t="s">
        <v>9</v>
      </c>
      <c r="F346" s="17"/>
      <c r="G346" s="54">
        <f>SUM(G347:G350)</f>
        <v>0</v>
      </c>
      <c r="H346" s="54">
        <f>SUM(H347:H350)</f>
        <v>0</v>
      </c>
      <c r="J346" s="137"/>
    </row>
    <row r="347" spans="1:10" s="21" customFormat="1" ht="25.5" hidden="1">
      <c r="A347" s="11" t="s">
        <v>10</v>
      </c>
      <c r="B347" s="4"/>
      <c r="C347" s="4"/>
      <c r="D347" s="4"/>
      <c r="E347" s="4"/>
      <c r="F347" s="4" t="s">
        <v>183</v>
      </c>
      <c r="G347" s="55">
        <f aca="true" t="shared" si="0" ref="G347:G353">SUM(H347:H347)</f>
        <v>0</v>
      </c>
      <c r="H347" s="55"/>
      <c r="J347" s="137"/>
    </row>
    <row r="348" spans="1:10" s="21" customFormat="1" ht="12.75" customHeight="1" hidden="1">
      <c r="A348" s="12" t="s">
        <v>11</v>
      </c>
      <c r="B348" s="4"/>
      <c r="C348" s="4"/>
      <c r="D348" s="4"/>
      <c r="E348" s="4"/>
      <c r="F348" s="4" t="s">
        <v>200</v>
      </c>
      <c r="G348" s="55">
        <f t="shared" si="0"/>
        <v>0</v>
      </c>
      <c r="H348" s="55"/>
      <c r="J348" s="137"/>
    </row>
    <row r="349" spans="1:10" s="30" customFormat="1" ht="12.75" hidden="1">
      <c r="A349" s="65" t="s">
        <v>130</v>
      </c>
      <c r="B349" s="29"/>
      <c r="C349" s="29"/>
      <c r="D349" s="29"/>
      <c r="E349" s="29"/>
      <c r="F349" s="29" t="s">
        <v>199</v>
      </c>
      <c r="G349" s="58">
        <f t="shared" si="0"/>
        <v>0</v>
      </c>
      <c r="H349" s="58"/>
      <c r="J349" s="135"/>
    </row>
    <row r="350" spans="1:10" s="21" customFormat="1" ht="25.5" hidden="1">
      <c r="A350" s="6" t="s">
        <v>12</v>
      </c>
      <c r="B350" s="4"/>
      <c r="C350" s="4"/>
      <c r="D350" s="4"/>
      <c r="E350" s="4"/>
      <c r="F350" s="4" t="s">
        <v>184</v>
      </c>
      <c r="G350" s="55">
        <f t="shared" si="0"/>
        <v>0</v>
      </c>
      <c r="H350" s="55"/>
      <c r="J350" s="137"/>
    </row>
    <row r="351" spans="1:10" s="21" customFormat="1" ht="12.75" hidden="1">
      <c r="A351" s="16" t="s">
        <v>13</v>
      </c>
      <c r="B351" s="27" t="s">
        <v>157</v>
      </c>
      <c r="C351" s="27" t="s">
        <v>142</v>
      </c>
      <c r="D351" s="27" t="s">
        <v>69</v>
      </c>
      <c r="E351" s="17" t="s">
        <v>14</v>
      </c>
      <c r="F351" s="17"/>
      <c r="G351" s="56">
        <f t="shared" si="0"/>
        <v>0</v>
      </c>
      <c r="H351" s="54"/>
      <c r="J351" s="137"/>
    </row>
    <row r="352" spans="1:10" s="45" customFormat="1" ht="12.75" hidden="1">
      <c r="A352" s="43" t="s">
        <v>15</v>
      </c>
      <c r="B352" s="44" t="s">
        <v>157</v>
      </c>
      <c r="C352" s="44" t="s">
        <v>142</v>
      </c>
      <c r="D352" s="44" t="s">
        <v>69</v>
      </c>
      <c r="E352" s="44" t="s">
        <v>16</v>
      </c>
      <c r="F352" s="44"/>
      <c r="G352" s="61">
        <f t="shared" si="0"/>
        <v>0</v>
      </c>
      <c r="H352" s="61">
        <f>SUM(H353:H354,H357,H361,H362,H368,)</f>
        <v>0</v>
      </c>
      <c r="J352" s="133"/>
    </row>
    <row r="353" spans="1:10" s="21" customFormat="1" ht="12.75" hidden="1">
      <c r="A353" s="16" t="s">
        <v>17</v>
      </c>
      <c r="B353" s="27" t="s">
        <v>157</v>
      </c>
      <c r="C353" s="27" t="s">
        <v>142</v>
      </c>
      <c r="D353" s="27" t="s">
        <v>69</v>
      </c>
      <c r="E353" s="17" t="s">
        <v>18</v>
      </c>
      <c r="F353" s="17"/>
      <c r="G353" s="54">
        <f t="shared" si="0"/>
        <v>0</v>
      </c>
      <c r="H353" s="54"/>
      <c r="J353" s="137"/>
    </row>
    <row r="354" spans="1:10" s="21" customFormat="1" ht="12.75" hidden="1">
      <c r="A354" s="16" t="s">
        <v>21</v>
      </c>
      <c r="B354" s="27" t="s">
        <v>157</v>
      </c>
      <c r="C354" s="27" t="s">
        <v>142</v>
      </c>
      <c r="D354" s="27" t="s">
        <v>69</v>
      </c>
      <c r="E354" s="17" t="s">
        <v>19</v>
      </c>
      <c r="F354" s="17"/>
      <c r="G354" s="54">
        <f>SUM(G355:G356)</f>
        <v>0</v>
      </c>
      <c r="H354" s="54">
        <f>SUM(H355:H356)</f>
        <v>0</v>
      </c>
      <c r="J354" s="137"/>
    </row>
    <row r="355" spans="1:10" s="21" customFormat="1" ht="25.5" hidden="1">
      <c r="A355" s="11" t="s">
        <v>20</v>
      </c>
      <c r="B355" s="4"/>
      <c r="C355" s="4"/>
      <c r="D355" s="4"/>
      <c r="E355" s="4"/>
      <c r="F355" s="4" t="s">
        <v>183</v>
      </c>
      <c r="G355" s="55">
        <f>SUM(H355:H355)</f>
        <v>0</v>
      </c>
      <c r="H355" s="55"/>
      <c r="J355" s="137"/>
    </row>
    <row r="356" spans="1:10" s="21" customFormat="1" ht="38.25" hidden="1">
      <c r="A356" s="8" t="s">
        <v>22</v>
      </c>
      <c r="B356" s="4"/>
      <c r="C356" s="4"/>
      <c r="D356" s="4"/>
      <c r="E356" s="4"/>
      <c r="F356" s="4" t="s">
        <v>185</v>
      </c>
      <c r="G356" s="55">
        <f>SUM(H356:H356)</f>
        <v>0</v>
      </c>
      <c r="H356" s="55"/>
      <c r="J356" s="137"/>
    </row>
    <row r="357" spans="1:10" s="21" customFormat="1" ht="12.75" hidden="1">
      <c r="A357" s="16" t="s">
        <v>23</v>
      </c>
      <c r="B357" s="27" t="s">
        <v>157</v>
      </c>
      <c r="C357" s="27" t="s">
        <v>142</v>
      </c>
      <c r="D357" s="27" t="s">
        <v>69</v>
      </c>
      <c r="E357" s="17" t="s">
        <v>24</v>
      </c>
      <c r="F357" s="17"/>
      <c r="G357" s="54">
        <f>SUM(G358:G360)</f>
        <v>0</v>
      </c>
      <c r="H357" s="54">
        <f>SUM(H358:H360)</f>
        <v>0</v>
      </c>
      <c r="J357" s="137"/>
    </row>
    <row r="358" spans="1:10" s="21" customFormat="1" ht="25.5" hidden="1">
      <c r="A358" s="7" t="s">
        <v>25</v>
      </c>
      <c r="B358" s="4"/>
      <c r="C358" s="4"/>
      <c r="D358" s="4"/>
      <c r="E358" s="4"/>
      <c r="F358" s="4" t="s">
        <v>186</v>
      </c>
      <c r="G358" s="55">
        <f>SUM(H358:H358)</f>
        <v>0</v>
      </c>
      <c r="H358" s="55"/>
      <c r="J358" s="137"/>
    </row>
    <row r="359" spans="1:10" s="21" customFormat="1" ht="25.5" hidden="1">
      <c r="A359" s="7" t="s">
        <v>26</v>
      </c>
      <c r="B359" s="4"/>
      <c r="C359" s="4"/>
      <c r="D359" s="4"/>
      <c r="E359" s="4"/>
      <c r="F359" s="4" t="s">
        <v>187</v>
      </c>
      <c r="G359" s="55">
        <f>SUM(H359:H359)</f>
        <v>0</v>
      </c>
      <c r="H359" s="55"/>
      <c r="J359" s="137"/>
    </row>
    <row r="360" spans="1:10" s="21" customFormat="1" ht="12.75" hidden="1">
      <c r="A360" s="7" t="s">
        <v>27</v>
      </c>
      <c r="B360" s="4"/>
      <c r="C360" s="4"/>
      <c r="D360" s="4"/>
      <c r="E360" s="4"/>
      <c r="F360" s="4" t="s">
        <v>188</v>
      </c>
      <c r="G360" s="55">
        <f>SUM(H360:H360)</f>
        <v>0</v>
      </c>
      <c r="H360" s="55"/>
      <c r="J360" s="137"/>
    </row>
    <row r="361" spans="1:10" s="21" customFormat="1" ht="13.5" customHeight="1" hidden="1">
      <c r="A361" s="16" t="s">
        <v>28</v>
      </c>
      <c r="B361" s="27" t="s">
        <v>157</v>
      </c>
      <c r="C361" s="27" t="s">
        <v>142</v>
      </c>
      <c r="D361" s="27" t="s">
        <v>69</v>
      </c>
      <c r="E361" s="17" t="s">
        <v>29</v>
      </c>
      <c r="F361" s="17"/>
      <c r="G361" s="55">
        <f>SUM(H361:H361)</f>
        <v>0</v>
      </c>
      <c r="H361" s="54"/>
      <c r="J361" s="137"/>
    </row>
    <row r="362" spans="1:10" s="21" customFormat="1" ht="12.75" hidden="1">
      <c r="A362" s="16" t="s">
        <v>30</v>
      </c>
      <c r="B362" s="27" t="s">
        <v>157</v>
      </c>
      <c r="C362" s="27" t="s">
        <v>142</v>
      </c>
      <c r="D362" s="27" t="s">
        <v>69</v>
      </c>
      <c r="E362" s="17" t="s">
        <v>31</v>
      </c>
      <c r="F362" s="17"/>
      <c r="G362" s="54">
        <f>SUM(G363:G367)</f>
        <v>0</v>
      </c>
      <c r="H362" s="54">
        <f>SUM(H363:H367)</f>
        <v>0</v>
      </c>
      <c r="J362" s="137"/>
    </row>
    <row r="363" spans="1:10" s="21" customFormat="1" ht="12.75" hidden="1">
      <c r="A363" s="7" t="s">
        <v>32</v>
      </c>
      <c r="B363" s="17"/>
      <c r="C363" s="17"/>
      <c r="D363" s="17"/>
      <c r="E363" s="17"/>
      <c r="F363" s="17" t="s">
        <v>189</v>
      </c>
      <c r="G363" s="54">
        <f>SUM(H363:H363)</f>
        <v>0</v>
      </c>
      <c r="H363" s="54"/>
      <c r="J363" s="137"/>
    </row>
    <row r="364" spans="1:10" s="21" customFormat="1" ht="12.75" hidden="1">
      <c r="A364" s="7" t="s">
        <v>33</v>
      </c>
      <c r="B364" s="17"/>
      <c r="C364" s="17"/>
      <c r="D364" s="17"/>
      <c r="E364" s="17"/>
      <c r="F364" s="17" t="s">
        <v>191</v>
      </c>
      <c r="G364" s="54">
        <f>SUM(H364:H364)</f>
        <v>0</v>
      </c>
      <c r="H364" s="54"/>
      <c r="J364" s="137"/>
    </row>
    <row r="365" spans="1:10" s="21" customFormat="1" ht="25.5" hidden="1">
      <c r="A365" s="7" t="s">
        <v>34</v>
      </c>
      <c r="B365" s="17"/>
      <c r="C365" s="17"/>
      <c r="D365" s="17"/>
      <c r="E365" s="17"/>
      <c r="F365" s="17" t="s">
        <v>221</v>
      </c>
      <c r="G365" s="54">
        <f>SUM(H365:H365)</f>
        <v>0</v>
      </c>
      <c r="H365" s="54"/>
      <c r="J365" s="137"/>
    </row>
    <row r="366" spans="1:10" s="21" customFormat="1" ht="25.5" hidden="1">
      <c r="A366" s="7" t="s">
        <v>35</v>
      </c>
      <c r="B366" s="17"/>
      <c r="C366" s="17"/>
      <c r="D366" s="17"/>
      <c r="E366" s="17"/>
      <c r="F366" s="17" t="s">
        <v>190</v>
      </c>
      <c r="G366" s="54">
        <f>SUM(H366:H366)</f>
        <v>0</v>
      </c>
      <c r="H366" s="54"/>
      <c r="J366" s="137"/>
    </row>
    <row r="367" spans="1:10" s="21" customFormat="1" ht="51" hidden="1">
      <c r="A367" s="7" t="s">
        <v>36</v>
      </c>
      <c r="B367" s="17"/>
      <c r="C367" s="17"/>
      <c r="D367" s="17"/>
      <c r="E367" s="17"/>
      <c r="F367" s="17" t="s">
        <v>190</v>
      </c>
      <c r="G367" s="54">
        <f>SUM(H367:H367)</f>
        <v>0</v>
      </c>
      <c r="H367" s="54"/>
      <c r="J367" s="137"/>
    </row>
    <row r="368" spans="1:10" s="21" customFormat="1" ht="12.75" hidden="1">
      <c r="A368" s="16" t="s">
        <v>37</v>
      </c>
      <c r="B368" s="27" t="s">
        <v>157</v>
      </c>
      <c r="C368" s="27" t="s">
        <v>142</v>
      </c>
      <c r="D368" s="27" t="s">
        <v>69</v>
      </c>
      <c r="E368" s="17" t="s">
        <v>38</v>
      </c>
      <c r="F368" s="17"/>
      <c r="G368" s="54">
        <f>SUM(G369:G371)</f>
        <v>0</v>
      </c>
      <c r="H368" s="54">
        <f>SUM(H369:H371)</f>
        <v>0</v>
      </c>
      <c r="J368" s="137"/>
    </row>
    <row r="369" spans="1:10" s="21" customFormat="1" ht="38.25" hidden="1">
      <c r="A369" s="11" t="s">
        <v>39</v>
      </c>
      <c r="B369" s="20"/>
      <c r="C369" s="20"/>
      <c r="D369" s="20"/>
      <c r="E369" s="20"/>
      <c r="F369" s="20" t="s">
        <v>183</v>
      </c>
      <c r="G369" s="57">
        <f>SUM(H369:H369)</f>
        <v>0</v>
      </c>
      <c r="H369" s="57"/>
      <c r="J369" s="137"/>
    </row>
    <row r="370" spans="1:10" s="21" customFormat="1" ht="38.25" hidden="1">
      <c r="A370" s="19" t="s">
        <v>40</v>
      </c>
      <c r="B370" s="20"/>
      <c r="C370" s="20"/>
      <c r="D370" s="20"/>
      <c r="E370" s="20"/>
      <c r="F370" s="20" t="s">
        <v>222</v>
      </c>
      <c r="G370" s="57">
        <f>SUM(H370:H370)</f>
        <v>0</v>
      </c>
      <c r="H370" s="57"/>
      <c r="J370" s="137"/>
    </row>
    <row r="371" spans="1:10" s="21" customFormat="1" ht="27" customHeight="1" hidden="1">
      <c r="A371" s="12" t="s">
        <v>41</v>
      </c>
      <c r="B371" s="20"/>
      <c r="C371" s="20"/>
      <c r="D371" s="20"/>
      <c r="E371" s="20"/>
      <c r="F371" s="20" t="s">
        <v>192</v>
      </c>
      <c r="G371" s="57">
        <f>SUM(H371:H371)</f>
        <v>0</v>
      </c>
      <c r="H371" s="57"/>
      <c r="J371" s="137"/>
    </row>
    <row r="372" spans="1:10" s="45" customFormat="1" ht="12.75" hidden="1">
      <c r="A372" s="43" t="s">
        <v>42</v>
      </c>
      <c r="B372" s="44" t="s">
        <v>157</v>
      </c>
      <c r="C372" s="44" t="s">
        <v>142</v>
      </c>
      <c r="D372" s="44" t="s">
        <v>69</v>
      </c>
      <c r="E372" s="44" t="s">
        <v>43</v>
      </c>
      <c r="F372" s="44"/>
      <c r="G372" s="61">
        <f>SUM(G373)</f>
        <v>0</v>
      </c>
      <c r="H372" s="61">
        <f>SUM(H373)</f>
        <v>0</v>
      </c>
      <c r="J372" s="133"/>
    </row>
    <row r="373" spans="1:10" s="21" customFormat="1" ht="12.75" hidden="1">
      <c r="A373" s="16" t="s">
        <v>44</v>
      </c>
      <c r="B373" s="27" t="s">
        <v>157</v>
      </c>
      <c r="C373" s="27" t="s">
        <v>142</v>
      </c>
      <c r="D373" s="27" t="s">
        <v>69</v>
      </c>
      <c r="E373" s="17" t="s">
        <v>45</v>
      </c>
      <c r="F373" s="17"/>
      <c r="G373" s="54">
        <f>SUM(H373:H373)</f>
        <v>0</v>
      </c>
      <c r="H373" s="54">
        <f>SUM(H374)</f>
        <v>0</v>
      </c>
      <c r="J373" s="137"/>
    </row>
    <row r="374" spans="1:10" s="21" customFormat="1" ht="12.75" hidden="1">
      <c r="A374" s="6" t="s">
        <v>46</v>
      </c>
      <c r="B374" s="20"/>
      <c r="C374" s="20"/>
      <c r="D374" s="20"/>
      <c r="E374" s="20"/>
      <c r="F374" s="20"/>
      <c r="G374" s="58">
        <f>SUM(H374:H374)</f>
        <v>0</v>
      </c>
      <c r="H374" s="57"/>
      <c r="J374" s="137"/>
    </row>
    <row r="375" spans="1:10" s="45" customFormat="1" ht="12.75" hidden="1">
      <c r="A375" s="43" t="s">
        <v>47</v>
      </c>
      <c r="B375" s="44" t="s">
        <v>157</v>
      </c>
      <c r="C375" s="44" t="s">
        <v>142</v>
      </c>
      <c r="D375" s="44" t="s">
        <v>69</v>
      </c>
      <c r="E375" s="44" t="s">
        <v>48</v>
      </c>
      <c r="F375" s="44"/>
      <c r="G375" s="61">
        <f>SUM(H375:H375)</f>
        <v>0</v>
      </c>
      <c r="H375" s="61">
        <f>SUM(H376)</f>
        <v>0</v>
      </c>
      <c r="J375" s="133"/>
    </row>
    <row r="376" spans="1:10" s="21" customFormat="1" ht="25.5" hidden="1">
      <c r="A376" s="12" t="s">
        <v>41</v>
      </c>
      <c r="B376" s="20"/>
      <c r="C376" s="20"/>
      <c r="D376" s="20"/>
      <c r="E376" s="20"/>
      <c r="F376" s="20"/>
      <c r="G376" s="57">
        <f>SUM(H376:H376)</f>
        <v>0</v>
      </c>
      <c r="H376" s="57"/>
      <c r="J376" s="137"/>
    </row>
    <row r="377" spans="1:10" s="45" customFormat="1" ht="12.75" hidden="1">
      <c r="A377" s="43" t="s">
        <v>49</v>
      </c>
      <c r="B377" s="44" t="s">
        <v>157</v>
      </c>
      <c r="C377" s="44" t="s">
        <v>142</v>
      </c>
      <c r="D377" s="44" t="s">
        <v>69</v>
      </c>
      <c r="E377" s="44" t="s">
        <v>50</v>
      </c>
      <c r="F377" s="44"/>
      <c r="G377" s="61">
        <f>SUM(G378,G382)</f>
        <v>0</v>
      </c>
      <c r="H377" s="61">
        <f>SUM(H378,H382)</f>
        <v>0</v>
      </c>
      <c r="J377" s="133"/>
    </row>
    <row r="378" spans="1:10" s="21" customFormat="1" ht="12.75" hidden="1">
      <c r="A378" s="16" t="s">
        <v>51</v>
      </c>
      <c r="B378" s="27" t="s">
        <v>157</v>
      </c>
      <c r="C378" s="27" t="s">
        <v>142</v>
      </c>
      <c r="D378" s="27" t="s">
        <v>69</v>
      </c>
      <c r="E378" s="17" t="s">
        <v>52</v>
      </c>
      <c r="F378" s="17"/>
      <c r="G378" s="54">
        <f>SUM(G379:G381)</f>
        <v>0</v>
      </c>
      <c r="H378" s="54">
        <f>SUM(H379:H381)</f>
        <v>0</v>
      </c>
      <c r="J378" s="137"/>
    </row>
    <row r="379" spans="1:10" s="21" customFormat="1" ht="12.75" hidden="1">
      <c r="A379" s="7" t="s">
        <v>53</v>
      </c>
      <c r="B379" s="20"/>
      <c r="C379" s="20"/>
      <c r="D379" s="20"/>
      <c r="E379" s="20"/>
      <c r="F379" s="20" t="s">
        <v>223</v>
      </c>
      <c r="G379" s="57">
        <f>SUM(H379:H379)</f>
        <v>0</v>
      </c>
      <c r="H379" s="57"/>
      <c r="J379" s="137"/>
    </row>
    <row r="380" spans="1:10" s="21" customFormat="1" ht="51" hidden="1">
      <c r="A380" s="7" t="s">
        <v>54</v>
      </c>
      <c r="B380" s="20"/>
      <c r="C380" s="20"/>
      <c r="D380" s="20"/>
      <c r="E380" s="20"/>
      <c r="F380" s="20" t="s">
        <v>194</v>
      </c>
      <c r="G380" s="57">
        <f>SUM(H380:H380)</f>
        <v>0</v>
      </c>
      <c r="H380" s="57"/>
      <c r="J380" s="137"/>
    </row>
    <row r="381" spans="1:10" s="21" customFormat="1" ht="50.25" customHeight="1" hidden="1">
      <c r="A381" s="7" t="s">
        <v>55</v>
      </c>
      <c r="B381" s="20"/>
      <c r="C381" s="20"/>
      <c r="D381" s="20"/>
      <c r="E381" s="20"/>
      <c r="F381" s="20" t="s">
        <v>193</v>
      </c>
      <c r="G381" s="57">
        <f>SUM(H381:H381)</f>
        <v>0</v>
      </c>
      <c r="H381" s="57"/>
      <c r="J381" s="137"/>
    </row>
    <row r="382" spans="1:10" s="21" customFormat="1" ht="14.25" customHeight="1" hidden="1">
      <c r="A382" s="16" t="s">
        <v>56</v>
      </c>
      <c r="B382" s="27" t="s">
        <v>157</v>
      </c>
      <c r="C382" s="27" t="s">
        <v>142</v>
      </c>
      <c r="D382" s="27" t="s">
        <v>69</v>
      </c>
      <c r="E382" s="17" t="s">
        <v>57</v>
      </c>
      <c r="F382" s="17"/>
      <c r="G382" s="54">
        <f>SUM(G383:G386)</f>
        <v>0</v>
      </c>
      <c r="H382" s="54">
        <f>SUM(H383:H386)</f>
        <v>0</v>
      </c>
      <c r="J382" s="137"/>
    </row>
    <row r="383" spans="1:10" s="21" customFormat="1" ht="25.5" hidden="1">
      <c r="A383" s="7" t="s">
        <v>58</v>
      </c>
      <c r="B383" s="20"/>
      <c r="C383" s="20"/>
      <c r="D383" s="20"/>
      <c r="E383" s="20"/>
      <c r="F383" s="20" t="s">
        <v>195</v>
      </c>
      <c r="G383" s="57">
        <f>SUM(H383:H383)</f>
        <v>0</v>
      </c>
      <c r="H383" s="57"/>
      <c r="J383" s="137"/>
    </row>
    <row r="384" spans="1:10" s="21" customFormat="1" ht="12.75" hidden="1">
      <c r="A384" s="7" t="s">
        <v>59</v>
      </c>
      <c r="B384" s="20"/>
      <c r="C384" s="20"/>
      <c r="D384" s="20"/>
      <c r="E384" s="20"/>
      <c r="F384" s="20" t="s">
        <v>196</v>
      </c>
      <c r="G384" s="57">
        <f>SUM(H384:H384)</f>
        <v>0</v>
      </c>
      <c r="H384" s="57"/>
      <c r="J384" s="137"/>
    </row>
    <row r="385" spans="1:10" s="21" customFormat="1" ht="12.75" hidden="1">
      <c r="A385" s="7" t="s">
        <v>60</v>
      </c>
      <c r="B385" s="20"/>
      <c r="C385" s="20"/>
      <c r="D385" s="20"/>
      <c r="E385" s="20"/>
      <c r="F385" s="20" t="s">
        <v>197</v>
      </c>
      <c r="G385" s="57">
        <f>SUM(H385:H385)</f>
        <v>0</v>
      </c>
      <c r="H385" s="57"/>
      <c r="J385" s="137"/>
    </row>
    <row r="386" spans="1:10" s="21" customFormat="1" ht="38.25" hidden="1">
      <c r="A386" s="7" t="s">
        <v>61</v>
      </c>
      <c r="B386" s="20"/>
      <c r="C386" s="20"/>
      <c r="D386" s="20"/>
      <c r="E386" s="20"/>
      <c r="F386" s="20" t="s">
        <v>198</v>
      </c>
      <c r="G386" s="57">
        <f>SUM(H386:H386)</f>
        <v>0</v>
      </c>
      <c r="H386" s="57"/>
      <c r="J386" s="137"/>
    </row>
    <row r="387" spans="1:10" s="21" customFormat="1" ht="12.75" hidden="1">
      <c r="A387" s="23" t="s">
        <v>70</v>
      </c>
      <c r="B387" s="24" t="s">
        <v>158</v>
      </c>
      <c r="C387" s="24" t="s">
        <v>83</v>
      </c>
      <c r="D387" s="24"/>
      <c r="E387" s="24"/>
      <c r="F387" s="24"/>
      <c r="G387" s="62"/>
      <c r="H387" s="62"/>
      <c r="J387" s="137"/>
    </row>
    <row r="388" spans="1:10" s="21" customFormat="1" ht="25.5" hidden="1">
      <c r="A388" s="26" t="s">
        <v>131</v>
      </c>
      <c r="B388" s="24" t="s">
        <v>158</v>
      </c>
      <c r="C388" s="24" t="s">
        <v>83</v>
      </c>
      <c r="D388" s="24" t="s">
        <v>69</v>
      </c>
      <c r="E388" s="24"/>
      <c r="F388" s="24"/>
      <c r="G388" s="63"/>
      <c r="H388" s="63"/>
      <c r="J388" s="137"/>
    </row>
    <row r="389" spans="1:10" s="45" customFormat="1" ht="12.75" customHeight="1" hidden="1">
      <c r="A389" s="43" t="s">
        <v>4</v>
      </c>
      <c r="B389" s="44" t="s">
        <v>158</v>
      </c>
      <c r="C389" s="44" t="s">
        <v>83</v>
      </c>
      <c r="D389" s="44" t="s">
        <v>69</v>
      </c>
      <c r="E389" s="44" t="s">
        <v>5</v>
      </c>
      <c r="F389" s="44"/>
      <c r="G389" s="61">
        <f>SUM(G390,G391,G396)</f>
        <v>0</v>
      </c>
      <c r="H389" s="61"/>
      <c r="J389" s="133"/>
    </row>
    <row r="390" spans="1:10" s="21" customFormat="1" ht="12.75" hidden="1">
      <c r="A390" s="16" t="s">
        <v>6</v>
      </c>
      <c r="B390" s="17" t="s">
        <v>207</v>
      </c>
      <c r="C390" s="17" t="s">
        <v>83</v>
      </c>
      <c r="D390" s="17" t="s">
        <v>69</v>
      </c>
      <c r="E390" s="17" t="s">
        <v>7</v>
      </c>
      <c r="F390" s="17"/>
      <c r="G390" s="54">
        <f>SUM(H390:H390)</f>
        <v>0</v>
      </c>
      <c r="H390" s="54"/>
      <c r="J390" s="137"/>
    </row>
    <row r="391" spans="1:10" s="21" customFormat="1" ht="9.75" customHeight="1" hidden="1">
      <c r="A391" s="16" t="s">
        <v>8</v>
      </c>
      <c r="B391" s="17" t="s">
        <v>207</v>
      </c>
      <c r="C391" s="17" t="s">
        <v>83</v>
      </c>
      <c r="D391" s="17" t="s">
        <v>69</v>
      </c>
      <c r="E391" s="17" t="s">
        <v>9</v>
      </c>
      <c r="F391" s="17"/>
      <c r="G391" s="54">
        <f>SUM(G392:G395)</f>
        <v>0</v>
      </c>
      <c r="H391" s="54"/>
      <c r="J391" s="137"/>
    </row>
    <row r="392" spans="1:10" s="21" customFormat="1" ht="25.5" hidden="1">
      <c r="A392" s="11" t="s">
        <v>10</v>
      </c>
      <c r="B392" s="4"/>
      <c r="C392" s="4"/>
      <c r="D392" s="4"/>
      <c r="E392" s="4"/>
      <c r="F392" s="4" t="s">
        <v>183</v>
      </c>
      <c r="G392" s="55">
        <f aca="true" t="shared" si="1" ref="G392:G398">SUM(H392:H392)</f>
        <v>0</v>
      </c>
      <c r="H392" s="55"/>
      <c r="J392" s="137"/>
    </row>
    <row r="393" spans="1:10" s="21" customFormat="1" ht="12.75" customHeight="1" hidden="1">
      <c r="A393" s="12" t="s">
        <v>11</v>
      </c>
      <c r="B393" s="4"/>
      <c r="C393" s="4"/>
      <c r="D393" s="4"/>
      <c r="E393" s="4"/>
      <c r="F393" s="4" t="s">
        <v>200</v>
      </c>
      <c r="G393" s="55">
        <f t="shared" si="1"/>
        <v>0</v>
      </c>
      <c r="H393" s="55"/>
      <c r="J393" s="137"/>
    </row>
    <row r="394" spans="1:10" s="30" customFormat="1" ht="12.75" hidden="1">
      <c r="A394" s="65" t="s">
        <v>130</v>
      </c>
      <c r="B394" s="29"/>
      <c r="C394" s="29"/>
      <c r="D394" s="29"/>
      <c r="E394" s="29"/>
      <c r="F394" s="29" t="s">
        <v>199</v>
      </c>
      <c r="G394" s="58">
        <f t="shared" si="1"/>
        <v>0</v>
      </c>
      <c r="H394" s="58"/>
      <c r="J394" s="135"/>
    </row>
    <row r="395" spans="1:10" s="21" customFormat="1" ht="25.5" hidden="1">
      <c r="A395" s="6" t="s">
        <v>12</v>
      </c>
      <c r="B395" s="4"/>
      <c r="C395" s="4"/>
      <c r="D395" s="4"/>
      <c r="E395" s="4"/>
      <c r="F395" s="4" t="s">
        <v>184</v>
      </c>
      <c r="G395" s="55">
        <f t="shared" si="1"/>
        <v>0</v>
      </c>
      <c r="H395" s="55"/>
      <c r="J395" s="137"/>
    </row>
    <row r="396" spans="1:10" s="21" customFormat="1" ht="12.75" hidden="1">
      <c r="A396" s="16" t="s">
        <v>13</v>
      </c>
      <c r="B396" s="17" t="s">
        <v>207</v>
      </c>
      <c r="C396" s="17" t="s">
        <v>83</v>
      </c>
      <c r="D396" s="17" t="s">
        <v>69</v>
      </c>
      <c r="E396" s="17" t="s">
        <v>14</v>
      </c>
      <c r="F396" s="17"/>
      <c r="G396" s="56">
        <f t="shared" si="1"/>
        <v>0</v>
      </c>
      <c r="H396" s="54"/>
      <c r="J396" s="137"/>
    </row>
    <row r="397" spans="1:10" s="45" customFormat="1" ht="12.75" hidden="1">
      <c r="A397" s="43" t="s">
        <v>15</v>
      </c>
      <c r="B397" s="44" t="s">
        <v>207</v>
      </c>
      <c r="C397" s="44" t="s">
        <v>83</v>
      </c>
      <c r="D397" s="44" t="s">
        <v>69</v>
      </c>
      <c r="E397" s="44" t="s">
        <v>16</v>
      </c>
      <c r="F397" s="44"/>
      <c r="G397" s="61">
        <f t="shared" si="1"/>
        <v>0</v>
      </c>
      <c r="H397" s="61"/>
      <c r="J397" s="133"/>
    </row>
    <row r="398" spans="1:10" s="21" customFormat="1" ht="12.75" hidden="1">
      <c r="A398" s="16" t="s">
        <v>17</v>
      </c>
      <c r="B398" s="17" t="s">
        <v>207</v>
      </c>
      <c r="C398" s="17" t="s">
        <v>83</v>
      </c>
      <c r="D398" s="17" t="s">
        <v>69</v>
      </c>
      <c r="E398" s="17" t="s">
        <v>18</v>
      </c>
      <c r="F398" s="17"/>
      <c r="G398" s="54">
        <f t="shared" si="1"/>
        <v>0</v>
      </c>
      <c r="H398" s="54"/>
      <c r="J398" s="137"/>
    </row>
    <row r="399" spans="1:10" s="21" customFormat="1" ht="12.75" hidden="1">
      <c r="A399" s="16" t="s">
        <v>21</v>
      </c>
      <c r="B399" s="17" t="s">
        <v>207</v>
      </c>
      <c r="C399" s="17" t="s">
        <v>83</v>
      </c>
      <c r="D399" s="17" t="s">
        <v>69</v>
      </c>
      <c r="E399" s="17" t="s">
        <v>19</v>
      </c>
      <c r="F399" s="17"/>
      <c r="G399" s="54">
        <f>SUM(G400:G401)</f>
        <v>0</v>
      </c>
      <c r="H399" s="54"/>
      <c r="J399" s="137"/>
    </row>
    <row r="400" spans="1:10" s="21" customFormat="1" ht="25.5" hidden="1">
      <c r="A400" s="11" t="s">
        <v>20</v>
      </c>
      <c r="B400" s="4"/>
      <c r="C400" s="4"/>
      <c r="D400" s="4"/>
      <c r="E400" s="4"/>
      <c r="F400" s="4" t="s">
        <v>183</v>
      </c>
      <c r="G400" s="55">
        <f>SUM(H400:H400)</f>
        <v>0</v>
      </c>
      <c r="H400" s="55"/>
      <c r="J400" s="137"/>
    </row>
    <row r="401" spans="1:10" s="21" customFormat="1" ht="38.25" hidden="1">
      <c r="A401" s="8" t="s">
        <v>22</v>
      </c>
      <c r="B401" s="4"/>
      <c r="C401" s="4"/>
      <c r="D401" s="4"/>
      <c r="E401" s="4"/>
      <c r="F401" s="4" t="s">
        <v>185</v>
      </c>
      <c r="G401" s="55">
        <f>SUM(H401:H401)</f>
        <v>0</v>
      </c>
      <c r="H401" s="55"/>
      <c r="J401" s="137"/>
    </row>
    <row r="402" spans="1:10" s="21" customFormat="1" ht="12.75" hidden="1">
      <c r="A402" s="16" t="s">
        <v>23</v>
      </c>
      <c r="B402" s="17" t="s">
        <v>207</v>
      </c>
      <c r="C402" s="17" t="s">
        <v>83</v>
      </c>
      <c r="D402" s="17" t="s">
        <v>69</v>
      </c>
      <c r="E402" s="17" t="s">
        <v>24</v>
      </c>
      <c r="F402" s="17"/>
      <c r="G402" s="54">
        <f>SUM(G403:G405)</f>
        <v>403.2</v>
      </c>
      <c r="H402" s="54"/>
      <c r="J402" s="137"/>
    </row>
    <row r="403" spans="1:10" s="21" customFormat="1" ht="25.5" hidden="1">
      <c r="A403" s="7" t="s">
        <v>25</v>
      </c>
      <c r="B403" s="4"/>
      <c r="C403" s="4"/>
      <c r="D403" s="4"/>
      <c r="E403" s="4"/>
      <c r="F403" s="4" t="s">
        <v>186</v>
      </c>
      <c r="G403" s="55">
        <f>SUM(H403:H403)</f>
        <v>0</v>
      </c>
      <c r="H403" s="55"/>
      <c r="J403" s="137"/>
    </row>
    <row r="404" spans="1:10" s="21" customFormat="1" ht="25.5" hidden="1">
      <c r="A404" s="7" t="s">
        <v>26</v>
      </c>
      <c r="B404" s="4"/>
      <c r="C404" s="4"/>
      <c r="D404" s="4"/>
      <c r="E404" s="4"/>
      <c r="F404" s="4" t="s">
        <v>187</v>
      </c>
      <c r="G404" s="55">
        <f>SUM(H404:H404)</f>
        <v>403.2</v>
      </c>
      <c r="H404" s="55">
        <v>403.2</v>
      </c>
      <c r="J404" s="137"/>
    </row>
    <row r="405" spans="1:10" s="21" customFormat="1" ht="9" customHeight="1" hidden="1">
      <c r="A405" s="7" t="s">
        <v>27</v>
      </c>
      <c r="B405" s="4"/>
      <c r="C405" s="4"/>
      <c r="D405" s="4"/>
      <c r="E405" s="4"/>
      <c r="F405" s="4" t="s">
        <v>188</v>
      </c>
      <c r="G405" s="55">
        <f>SUM(H405:H405)</f>
        <v>0</v>
      </c>
      <c r="H405" s="55"/>
      <c r="J405" s="137"/>
    </row>
    <row r="406" spans="1:10" s="21" customFormat="1" ht="13.5" customHeight="1" hidden="1">
      <c r="A406" s="16" t="s">
        <v>28</v>
      </c>
      <c r="B406" s="17" t="s">
        <v>207</v>
      </c>
      <c r="C406" s="17" t="s">
        <v>83</v>
      </c>
      <c r="D406" s="17" t="s">
        <v>69</v>
      </c>
      <c r="E406" s="17" t="s">
        <v>29</v>
      </c>
      <c r="F406" s="17"/>
      <c r="G406" s="55">
        <f>SUM(H406:H406)</f>
        <v>0</v>
      </c>
      <c r="H406" s="54"/>
      <c r="J406" s="137"/>
    </row>
    <row r="407" spans="1:10" s="21" customFormat="1" ht="12.75" hidden="1">
      <c r="A407" s="16" t="s">
        <v>30</v>
      </c>
      <c r="B407" s="17" t="s">
        <v>207</v>
      </c>
      <c r="C407" s="17" t="s">
        <v>83</v>
      </c>
      <c r="D407" s="17" t="s">
        <v>69</v>
      </c>
      <c r="E407" s="17" t="s">
        <v>31</v>
      </c>
      <c r="F407" s="17"/>
      <c r="G407" s="54">
        <f>SUM(G408:G412)</f>
        <v>0</v>
      </c>
      <c r="H407" s="54"/>
      <c r="J407" s="137"/>
    </row>
    <row r="408" spans="1:10" s="21" customFormat="1" ht="12.75" hidden="1">
      <c r="A408" s="7" t="s">
        <v>32</v>
      </c>
      <c r="B408" s="17"/>
      <c r="C408" s="17"/>
      <c r="D408" s="17"/>
      <c r="E408" s="17"/>
      <c r="F408" s="17" t="s">
        <v>189</v>
      </c>
      <c r="G408" s="54">
        <f>SUM(H408:H408)</f>
        <v>0</v>
      </c>
      <c r="H408" s="54"/>
      <c r="J408" s="137"/>
    </row>
    <row r="409" spans="1:10" s="21" customFormat="1" ht="12.75" hidden="1">
      <c r="A409" s="7" t="s">
        <v>33</v>
      </c>
      <c r="B409" s="17"/>
      <c r="C409" s="17"/>
      <c r="D409" s="17"/>
      <c r="E409" s="17"/>
      <c r="F409" s="17" t="s">
        <v>191</v>
      </c>
      <c r="G409" s="54">
        <f>SUM(H409:H409)</f>
        <v>0</v>
      </c>
      <c r="H409" s="54"/>
      <c r="J409" s="137"/>
    </row>
    <row r="410" spans="1:10" s="21" customFormat="1" ht="25.5" hidden="1">
      <c r="A410" s="7" t="s">
        <v>34</v>
      </c>
      <c r="B410" s="17"/>
      <c r="C410" s="17"/>
      <c r="D410" s="17"/>
      <c r="E410" s="17"/>
      <c r="F410" s="17" t="s">
        <v>221</v>
      </c>
      <c r="G410" s="54">
        <f>SUM(H410:H410)</f>
        <v>0</v>
      </c>
      <c r="H410" s="54"/>
      <c r="J410" s="137"/>
    </row>
    <row r="411" spans="1:10" s="21" customFormat="1" ht="25.5" hidden="1">
      <c r="A411" s="7" t="s">
        <v>35</v>
      </c>
      <c r="B411" s="17"/>
      <c r="C411" s="17"/>
      <c r="D411" s="17"/>
      <c r="E411" s="17"/>
      <c r="F411" s="17" t="s">
        <v>190</v>
      </c>
      <c r="G411" s="54">
        <f>SUM(H411:H411)</f>
        <v>0</v>
      </c>
      <c r="H411" s="54"/>
      <c r="J411" s="137"/>
    </row>
    <row r="412" spans="1:10" s="21" customFormat="1" ht="51" hidden="1">
      <c r="A412" s="7" t="s">
        <v>36</v>
      </c>
      <c r="B412" s="17"/>
      <c r="C412" s="17"/>
      <c r="D412" s="17"/>
      <c r="E412" s="17"/>
      <c r="F412" s="17" t="s">
        <v>190</v>
      </c>
      <c r="G412" s="54">
        <f>SUM(H412:H412)</f>
        <v>0</v>
      </c>
      <c r="H412" s="54"/>
      <c r="J412" s="137"/>
    </row>
    <row r="413" spans="1:10" s="21" customFormat="1" ht="12.75" hidden="1">
      <c r="A413" s="16" t="s">
        <v>37</v>
      </c>
      <c r="B413" s="17" t="s">
        <v>207</v>
      </c>
      <c r="C413" s="17" t="s">
        <v>83</v>
      </c>
      <c r="D413" s="17" t="s">
        <v>69</v>
      </c>
      <c r="E413" s="17" t="s">
        <v>38</v>
      </c>
      <c r="F413" s="17"/>
      <c r="G413" s="54">
        <f>SUM(G414:G416)</f>
        <v>247.4</v>
      </c>
      <c r="H413" s="54">
        <f>SUM(H414:H416)</f>
        <v>247.4</v>
      </c>
      <c r="J413" s="137"/>
    </row>
    <row r="414" spans="1:10" s="21" customFormat="1" ht="36" customHeight="1" hidden="1">
      <c r="A414" s="11" t="s">
        <v>39</v>
      </c>
      <c r="B414" s="20"/>
      <c r="C414" s="20"/>
      <c r="D414" s="20"/>
      <c r="E414" s="20"/>
      <c r="F414" s="20" t="s">
        <v>183</v>
      </c>
      <c r="G414" s="57">
        <f>SUM(H414:H414)</f>
        <v>27.1</v>
      </c>
      <c r="H414" s="57">
        <v>27.1</v>
      </c>
      <c r="J414" s="137"/>
    </row>
    <row r="415" spans="1:10" s="21" customFormat="1" ht="38.25" hidden="1">
      <c r="A415" s="19" t="s">
        <v>40</v>
      </c>
      <c r="B415" s="20"/>
      <c r="C415" s="20"/>
      <c r="D415" s="20"/>
      <c r="E415" s="20"/>
      <c r="F415" s="20" t="s">
        <v>222</v>
      </c>
      <c r="G415" s="57">
        <f>SUM(H415:H415)</f>
        <v>0</v>
      </c>
      <c r="H415" s="57"/>
      <c r="J415" s="137"/>
    </row>
    <row r="416" spans="1:10" s="21" customFormat="1" ht="26.25" customHeight="1" hidden="1">
      <c r="A416" s="12" t="s">
        <v>41</v>
      </c>
      <c r="B416" s="20"/>
      <c r="C416" s="20"/>
      <c r="D416" s="20"/>
      <c r="E416" s="20"/>
      <c r="F416" s="20" t="s">
        <v>192</v>
      </c>
      <c r="G416" s="57">
        <f>SUM(H416:H416)</f>
        <v>220.3</v>
      </c>
      <c r="H416" s="57">
        <v>220.3</v>
      </c>
      <c r="J416" s="137"/>
    </row>
    <row r="417" spans="1:10" s="45" customFormat="1" ht="12.75" hidden="1">
      <c r="A417" s="43" t="s">
        <v>42</v>
      </c>
      <c r="B417" s="44" t="s">
        <v>207</v>
      </c>
      <c r="C417" s="44" t="s">
        <v>83</v>
      </c>
      <c r="D417" s="44" t="s">
        <v>69</v>
      </c>
      <c r="E417" s="44" t="s">
        <v>43</v>
      </c>
      <c r="F417" s="44"/>
      <c r="G417" s="61">
        <f>SUM(G418)</f>
        <v>176.8</v>
      </c>
      <c r="H417" s="61">
        <f>SUM(H418)</f>
        <v>176.8</v>
      </c>
      <c r="J417" s="133"/>
    </row>
    <row r="418" spans="1:10" s="21" customFormat="1" ht="12.75" hidden="1">
      <c r="A418" s="16" t="s">
        <v>44</v>
      </c>
      <c r="B418" s="17" t="s">
        <v>207</v>
      </c>
      <c r="C418" s="17" t="s">
        <v>83</v>
      </c>
      <c r="D418" s="17" t="s">
        <v>69</v>
      </c>
      <c r="E418" s="17" t="s">
        <v>45</v>
      </c>
      <c r="F418" s="17"/>
      <c r="G418" s="54">
        <f aca="true" t="shared" si="2" ref="G418:G423">SUM(H418:H418)</f>
        <v>176.8</v>
      </c>
      <c r="H418" s="54">
        <f>SUM(H419)</f>
        <v>176.8</v>
      </c>
      <c r="J418" s="137"/>
    </row>
    <row r="419" spans="1:10" s="21" customFormat="1" ht="12.75" hidden="1">
      <c r="A419" s="6" t="s">
        <v>46</v>
      </c>
      <c r="B419" s="20"/>
      <c r="C419" s="20"/>
      <c r="D419" s="20"/>
      <c r="E419" s="20"/>
      <c r="F419" s="20"/>
      <c r="G419" s="57">
        <f t="shared" si="2"/>
        <v>176.8</v>
      </c>
      <c r="H419" s="57">
        <f>SUM(H420:H420)</f>
        <v>176.8</v>
      </c>
      <c r="J419" s="137"/>
    </row>
    <row r="420" spans="1:10" s="21" customFormat="1" ht="12.75" hidden="1">
      <c r="A420" s="64" t="s">
        <v>129</v>
      </c>
      <c r="B420" s="20"/>
      <c r="C420" s="20"/>
      <c r="D420" s="20"/>
      <c r="E420" s="20"/>
      <c r="F420" s="20" t="s">
        <v>209</v>
      </c>
      <c r="G420" s="54">
        <f t="shared" si="2"/>
        <v>176.8</v>
      </c>
      <c r="H420" s="57">
        <v>176.8</v>
      </c>
      <c r="J420" s="137"/>
    </row>
    <row r="421" spans="1:10" s="45" customFormat="1" ht="12.75" hidden="1">
      <c r="A421" s="43" t="s">
        <v>47</v>
      </c>
      <c r="B421" s="44" t="s">
        <v>207</v>
      </c>
      <c r="C421" s="44" t="s">
        <v>83</v>
      </c>
      <c r="D421" s="44" t="s">
        <v>69</v>
      </c>
      <c r="E421" s="44" t="s">
        <v>48</v>
      </c>
      <c r="F421" s="44"/>
      <c r="G421" s="61">
        <f t="shared" si="2"/>
        <v>123.3</v>
      </c>
      <c r="H421" s="61">
        <f>SUM(H422)</f>
        <v>123.3</v>
      </c>
      <c r="J421" s="133"/>
    </row>
    <row r="422" spans="1:10" s="21" customFormat="1" ht="25.5" customHeight="1" hidden="1">
      <c r="A422" s="12" t="s">
        <v>41</v>
      </c>
      <c r="B422" s="20"/>
      <c r="C422" s="20"/>
      <c r="D422" s="20"/>
      <c r="E422" s="20"/>
      <c r="F422" s="20"/>
      <c r="G422" s="57">
        <f t="shared" si="2"/>
        <v>123.3</v>
      </c>
      <c r="H422" s="57">
        <f>96.8+26.5</f>
        <v>123.3</v>
      </c>
      <c r="J422" s="137"/>
    </row>
    <row r="423" spans="1:10" s="45" customFormat="1" ht="12.75" hidden="1">
      <c r="A423" s="43" t="s">
        <v>49</v>
      </c>
      <c r="B423" s="44" t="s">
        <v>207</v>
      </c>
      <c r="C423" s="44" t="s">
        <v>83</v>
      </c>
      <c r="D423" s="44" t="s">
        <v>69</v>
      </c>
      <c r="E423" s="44" t="s">
        <v>50</v>
      </c>
      <c r="F423" s="44"/>
      <c r="G423" s="61">
        <f t="shared" si="2"/>
        <v>79</v>
      </c>
      <c r="H423" s="61">
        <f>SUM(H424,H428)</f>
        <v>79</v>
      </c>
      <c r="J423" s="133"/>
    </row>
    <row r="424" spans="1:10" s="21" customFormat="1" ht="12.75" hidden="1">
      <c r="A424" s="16" t="s">
        <v>51</v>
      </c>
      <c r="B424" s="17" t="s">
        <v>207</v>
      </c>
      <c r="C424" s="17" t="s">
        <v>83</v>
      </c>
      <c r="D424" s="17" t="s">
        <v>69</v>
      </c>
      <c r="E424" s="17" t="s">
        <v>52</v>
      </c>
      <c r="F424" s="17"/>
      <c r="G424" s="54">
        <f>SUM(G425:G427)</f>
        <v>0</v>
      </c>
      <c r="H424" s="54">
        <f>SUM(H425:H427)</f>
        <v>0</v>
      </c>
      <c r="J424" s="137"/>
    </row>
    <row r="425" spans="1:10" s="21" customFormat="1" ht="12.75" hidden="1">
      <c r="A425" s="7" t="s">
        <v>53</v>
      </c>
      <c r="B425" s="20"/>
      <c r="C425" s="20"/>
      <c r="D425" s="20"/>
      <c r="E425" s="20"/>
      <c r="F425" s="20" t="s">
        <v>223</v>
      </c>
      <c r="G425" s="57">
        <f aca="true" t="shared" si="3" ref="G425:G432">SUM(H425:H425)</f>
        <v>0</v>
      </c>
      <c r="H425" s="57"/>
      <c r="J425" s="137"/>
    </row>
    <row r="426" spans="1:10" s="21" customFormat="1" ht="51" hidden="1">
      <c r="A426" s="7" t="s">
        <v>54</v>
      </c>
      <c r="B426" s="20"/>
      <c r="C426" s="20"/>
      <c r="D426" s="20"/>
      <c r="E426" s="20"/>
      <c r="F426" s="20" t="s">
        <v>194</v>
      </c>
      <c r="G426" s="57">
        <f t="shared" si="3"/>
        <v>0</v>
      </c>
      <c r="H426" s="57"/>
      <c r="J426" s="137"/>
    </row>
    <row r="427" spans="1:10" s="21" customFormat="1" ht="50.25" customHeight="1" hidden="1">
      <c r="A427" s="7" t="s">
        <v>55</v>
      </c>
      <c r="B427" s="20"/>
      <c r="C427" s="20"/>
      <c r="D427" s="20"/>
      <c r="E427" s="20"/>
      <c r="F427" s="20" t="s">
        <v>193</v>
      </c>
      <c r="G427" s="57">
        <f t="shared" si="3"/>
        <v>0</v>
      </c>
      <c r="H427" s="57"/>
      <c r="J427" s="137"/>
    </row>
    <row r="428" spans="1:10" s="21" customFormat="1" ht="16.5" customHeight="1" hidden="1">
      <c r="A428" s="16" t="s">
        <v>56</v>
      </c>
      <c r="B428" s="17" t="s">
        <v>207</v>
      </c>
      <c r="C428" s="17" t="s">
        <v>83</v>
      </c>
      <c r="D428" s="17" t="s">
        <v>69</v>
      </c>
      <c r="E428" s="17" t="s">
        <v>57</v>
      </c>
      <c r="F428" s="17"/>
      <c r="G428" s="57">
        <f t="shared" si="3"/>
        <v>79</v>
      </c>
      <c r="H428" s="54">
        <f>SUM(H429:H432)</f>
        <v>79</v>
      </c>
      <c r="J428" s="137"/>
    </row>
    <row r="429" spans="1:10" s="21" customFormat="1" ht="25.5" hidden="1">
      <c r="A429" s="7" t="s">
        <v>58</v>
      </c>
      <c r="B429" s="20"/>
      <c r="C429" s="20"/>
      <c r="D429" s="20"/>
      <c r="E429" s="20"/>
      <c r="F429" s="20" t="s">
        <v>195</v>
      </c>
      <c r="G429" s="57">
        <f t="shared" si="3"/>
        <v>28.8</v>
      </c>
      <c r="H429" s="57">
        <v>28.8</v>
      </c>
      <c r="J429" s="137"/>
    </row>
    <row r="430" spans="1:10" s="21" customFormat="1" ht="10.5" customHeight="1" hidden="1">
      <c r="A430" s="7" t="s">
        <v>59</v>
      </c>
      <c r="B430" s="20"/>
      <c r="C430" s="20"/>
      <c r="D430" s="20"/>
      <c r="E430" s="20"/>
      <c r="F430" s="20" t="s">
        <v>196</v>
      </c>
      <c r="G430" s="57">
        <f t="shared" si="3"/>
        <v>0</v>
      </c>
      <c r="H430" s="57"/>
      <c r="J430" s="137"/>
    </row>
    <row r="431" spans="1:10" s="21" customFormat="1" ht="12.75" hidden="1">
      <c r="A431" s="7" t="s">
        <v>60</v>
      </c>
      <c r="B431" s="20"/>
      <c r="C431" s="20"/>
      <c r="D431" s="20"/>
      <c r="E431" s="20"/>
      <c r="F431" s="20" t="s">
        <v>197</v>
      </c>
      <c r="G431" s="57">
        <f t="shared" si="3"/>
        <v>39.2</v>
      </c>
      <c r="H431" s="57">
        <v>39.2</v>
      </c>
      <c r="J431" s="137"/>
    </row>
    <row r="432" spans="1:10" s="21" customFormat="1" ht="38.25" hidden="1">
      <c r="A432" s="7" t="s">
        <v>61</v>
      </c>
      <c r="B432" s="20"/>
      <c r="C432" s="20"/>
      <c r="D432" s="20"/>
      <c r="E432" s="20"/>
      <c r="F432" s="20" t="s">
        <v>198</v>
      </c>
      <c r="G432" s="57">
        <f t="shared" si="3"/>
        <v>11</v>
      </c>
      <c r="H432" s="57">
        <v>11</v>
      </c>
      <c r="J432" s="137"/>
    </row>
    <row r="433" spans="1:10" s="21" customFormat="1" ht="12.75" hidden="1">
      <c r="A433" s="23" t="s">
        <v>71</v>
      </c>
      <c r="B433" s="24" t="s">
        <v>158</v>
      </c>
      <c r="C433" s="24" t="s">
        <v>141</v>
      </c>
      <c r="D433" s="24" t="s">
        <v>69</v>
      </c>
      <c r="E433" s="24"/>
      <c r="F433" s="24"/>
      <c r="G433" s="63"/>
      <c r="H433" s="63"/>
      <c r="J433" s="137"/>
    </row>
    <row r="434" spans="1:10" s="45" customFormat="1" ht="12.75" customHeight="1" hidden="1">
      <c r="A434" s="43" t="s">
        <v>4</v>
      </c>
      <c r="B434" s="44" t="s">
        <v>158</v>
      </c>
      <c r="C434" s="44" t="s">
        <v>141</v>
      </c>
      <c r="D434" s="44" t="s">
        <v>69</v>
      </c>
      <c r="E434" s="44" t="s">
        <v>5</v>
      </c>
      <c r="F434" s="44"/>
      <c r="G434" s="61"/>
      <c r="H434" s="61"/>
      <c r="J434" s="133"/>
    </row>
    <row r="435" spans="1:10" s="21" customFormat="1" ht="12.75" hidden="1">
      <c r="A435" s="16" t="s">
        <v>6</v>
      </c>
      <c r="B435" s="17" t="s">
        <v>207</v>
      </c>
      <c r="C435" s="17" t="s">
        <v>141</v>
      </c>
      <c r="D435" s="17" t="s">
        <v>69</v>
      </c>
      <c r="E435" s="17" t="s">
        <v>7</v>
      </c>
      <c r="F435" s="17"/>
      <c r="G435" s="54"/>
      <c r="H435" s="54"/>
      <c r="J435" s="137"/>
    </row>
    <row r="436" spans="1:10" s="21" customFormat="1" ht="12.75" hidden="1">
      <c r="A436" s="16" t="s">
        <v>8</v>
      </c>
      <c r="B436" s="17" t="s">
        <v>207</v>
      </c>
      <c r="C436" s="17" t="s">
        <v>141</v>
      </c>
      <c r="D436" s="17" t="s">
        <v>69</v>
      </c>
      <c r="E436" s="17" t="s">
        <v>9</v>
      </c>
      <c r="F436" s="17"/>
      <c r="G436" s="54"/>
      <c r="H436" s="54"/>
      <c r="J436" s="137"/>
    </row>
    <row r="437" spans="1:10" s="21" customFormat="1" ht="25.5" hidden="1">
      <c r="A437" s="11" t="s">
        <v>10</v>
      </c>
      <c r="B437" s="4"/>
      <c r="C437" s="4"/>
      <c r="D437" s="4"/>
      <c r="E437" s="4"/>
      <c r="F437" s="4" t="s">
        <v>183</v>
      </c>
      <c r="G437" s="55"/>
      <c r="H437" s="55"/>
      <c r="J437" s="137"/>
    </row>
    <row r="438" spans="1:10" s="21" customFormat="1" ht="15.75" customHeight="1" hidden="1">
      <c r="A438" s="12" t="s">
        <v>11</v>
      </c>
      <c r="B438" s="4"/>
      <c r="C438" s="4"/>
      <c r="D438" s="4"/>
      <c r="E438" s="4"/>
      <c r="F438" s="4" t="s">
        <v>200</v>
      </c>
      <c r="G438" s="55"/>
      <c r="H438" s="55"/>
      <c r="J438" s="137"/>
    </row>
    <row r="439" spans="1:10" s="30" customFormat="1" ht="12.75" hidden="1">
      <c r="A439" s="65" t="s">
        <v>130</v>
      </c>
      <c r="B439" s="29"/>
      <c r="C439" s="29"/>
      <c r="D439" s="29"/>
      <c r="E439" s="29"/>
      <c r="F439" s="29" t="s">
        <v>199</v>
      </c>
      <c r="G439" s="58"/>
      <c r="H439" s="58"/>
      <c r="J439" s="135"/>
    </row>
    <row r="440" spans="1:10" s="21" customFormat="1" ht="25.5" hidden="1">
      <c r="A440" s="6" t="s">
        <v>12</v>
      </c>
      <c r="B440" s="4"/>
      <c r="C440" s="4"/>
      <c r="D440" s="4"/>
      <c r="E440" s="4"/>
      <c r="F440" s="4" t="s">
        <v>184</v>
      </c>
      <c r="G440" s="55"/>
      <c r="H440" s="55"/>
      <c r="J440" s="137"/>
    </row>
    <row r="441" spans="1:10" s="21" customFormat="1" ht="12.75" hidden="1">
      <c r="A441" s="16" t="s">
        <v>13</v>
      </c>
      <c r="B441" s="17" t="s">
        <v>207</v>
      </c>
      <c r="C441" s="17" t="s">
        <v>141</v>
      </c>
      <c r="D441" s="17" t="s">
        <v>69</v>
      </c>
      <c r="E441" s="17" t="s">
        <v>14</v>
      </c>
      <c r="F441" s="17"/>
      <c r="G441" s="56"/>
      <c r="H441" s="54"/>
      <c r="J441" s="137"/>
    </row>
    <row r="442" spans="1:10" s="45" customFormat="1" ht="12.75" hidden="1">
      <c r="A442" s="43" t="s">
        <v>15</v>
      </c>
      <c r="B442" s="44" t="s">
        <v>207</v>
      </c>
      <c r="C442" s="44" t="s">
        <v>141</v>
      </c>
      <c r="D442" s="44" t="s">
        <v>69</v>
      </c>
      <c r="E442" s="44" t="s">
        <v>16</v>
      </c>
      <c r="F442" s="44"/>
      <c r="G442" s="61"/>
      <c r="H442" s="61"/>
      <c r="J442" s="133"/>
    </row>
    <row r="443" spans="1:10" s="21" customFormat="1" ht="12.75" hidden="1">
      <c r="A443" s="16" t="s">
        <v>17</v>
      </c>
      <c r="B443" s="17" t="s">
        <v>207</v>
      </c>
      <c r="C443" s="17" t="s">
        <v>141</v>
      </c>
      <c r="D443" s="17" t="s">
        <v>69</v>
      </c>
      <c r="E443" s="17" t="s">
        <v>18</v>
      </c>
      <c r="F443" s="17"/>
      <c r="G443" s="54"/>
      <c r="H443" s="54"/>
      <c r="J443" s="137"/>
    </row>
    <row r="444" spans="1:10" s="21" customFormat="1" ht="12.75" hidden="1">
      <c r="A444" s="16" t="s">
        <v>21</v>
      </c>
      <c r="B444" s="17" t="s">
        <v>207</v>
      </c>
      <c r="C444" s="17" t="s">
        <v>141</v>
      </c>
      <c r="D444" s="17" t="s">
        <v>69</v>
      </c>
      <c r="E444" s="17" t="s">
        <v>19</v>
      </c>
      <c r="F444" s="17"/>
      <c r="G444" s="54"/>
      <c r="H444" s="54"/>
      <c r="J444" s="137"/>
    </row>
    <row r="445" spans="1:10" s="21" customFormat="1" ht="25.5" hidden="1">
      <c r="A445" s="11" t="s">
        <v>20</v>
      </c>
      <c r="B445" s="4"/>
      <c r="C445" s="4"/>
      <c r="D445" s="4"/>
      <c r="E445" s="4"/>
      <c r="F445" s="4" t="s">
        <v>183</v>
      </c>
      <c r="G445" s="55"/>
      <c r="H445" s="55"/>
      <c r="J445" s="137"/>
    </row>
    <row r="446" spans="1:10" s="21" customFormat="1" ht="38.25" hidden="1">
      <c r="A446" s="8" t="s">
        <v>22</v>
      </c>
      <c r="B446" s="4"/>
      <c r="C446" s="4"/>
      <c r="D446" s="4"/>
      <c r="E446" s="4"/>
      <c r="F446" s="4" t="s">
        <v>185</v>
      </c>
      <c r="G446" s="55"/>
      <c r="H446" s="55"/>
      <c r="J446" s="137"/>
    </row>
    <row r="447" spans="1:10" s="21" customFormat="1" ht="12.75" hidden="1">
      <c r="A447" s="16" t="s">
        <v>23</v>
      </c>
      <c r="B447" s="17" t="s">
        <v>207</v>
      </c>
      <c r="C447" s="17" t="s">
        <v>141</v>
      </c>
      <c r="D447" s="17" t="s">
        <v>69</v>
      </c>
      <c r="E447" s="17" t="s">
        <v>24</v>
      </c>
      <c r="F447" s="17"/>
      <c r="G447" s="54"/>
      <c r="H447" s="54"/>
      <c r="J447" s="137"/>
    </row>
    <row r="448" spans="1:10" s="21" customFormat="1" ht="25.5" hidden="1">
      <c r="A448" s="7" t="s">
        <v>25</v>
      </c>
      <c r="B448" s="4"/>
      <c r="C448" s="4"/>
      <c r="D448" s="4"/>
      <c r="E448" s="4"/>
      <c r="F448" s="4" t="s">
        <v>186</v>
      </c>
      <c r="G448" s="55"/>
      <c r="H448" s="55"/>
      <c r="J448" s="137"/>
    </row>
    <row r="449" spans="1:10" s="21" customFormat="1" ht="25.5" hidden="1">
      <c r="A449" s="7" t="s">
        <v>26</v>
      </c>
      <c r="B449" s="4"/>
      <c r="C449" s="4"/>
      <c r="D449" s="4"/>
      <c r="E449" s="4"/>
      <c r="F449" s="4" t="s">
        <v>187</v>
      </c>
      <c r="G449" s="55"/>
      <c r="H449" s="55"/>
      <c r="J449" s="137"/>
    </row>
    <row r="450" spans="1:10" s="21" customFormat="1" ht="12.75" hidden="1">
      <c r="A450" s="7" t="s">
        <v>27</v>
      </c>
      <c r="B450" s="4"/>
      <c r="C450" s="4"/>
      <c r="D450" s="4"/>
      <c r="E450" s="4"/>
      <c r="F450" s="4" t="s">
        <v>188</v>
      </c>
      <c r="G450" s="55"/>
      <c r="H450" s="55"/>
      <c r="J450" s="137"/>
    </row>
    <row r="451" spans="1:10" s="21" customFormat="1" ht="14.25" customHeight="1" hidden="1">
      <c r="A451" s="16" t="s">
        <v>28</v>
      </c>
      <c r="B451" s="17" t="s">
        <v>207</v>
      </c>
      <c r="C451" s="17" t="s">
        <v>141</v>
      </c>
      <c r="D451" s="17" t="s">
        <v>69</v>
      </c>
      <c r="E451" s="17" t="s">
        <v>29</v>
      </c>
      <c r="F451" s="17"/>
      <c r="G451" s="55"/>
      <c r="H451" s="54"/>
      <c r="J451" s="137"/>
    </row>
    <row r="452" spans="1:10" s="21" customFormat="1" ht="12.75" hidden="1">
      <c r="A452" s="16" t="s">
        <v>30</v>
      </c>
      <c r="B452" s="17" t="s">
        <v>207</v>
      </c>
      <c r="C452" s="17" t="s">
        <v>141</v>
      </c>
      <c r="D452" s="17" t="s">
        <v>69</v>
      </c>
      <c r="E452" s="17" t="s">
        <v>31</v>
      </c>
      <c r="F452" s="17"/>
      <c r="G452" s="54"/>
      <c r="H452" s="54"/>
      <c r="J452" s="137"/>
    </row>
    <row r="453" spans="1:10" s="21" customFormat="1" ht="12.75" hidden="1">
      <c r="A453" s="7" t="s">
        <v>32</v>
      </c>
      <c r="B453" s="17"/>
      <c r="C453" s="17"/>
      <c r="D453" s="17"/>
      <c r="E453" s="17"/>
      <c r="F453" s="17" t="s">
        <v>189</v>
      </c>
      <c r="G453" s="54"/>
      <c r="H453" s="54"/>
      <c r="J453" s="137"/>
    </row>
    <row r="454" spans="1:10" s="21" customFormat="1" ht="12.75" hidden="1">
      <c r="A454" s="7" t="s">
        <v>33</v>
      </c>
      <c r="B454" s="17"/>
      <c r="C454" s="17"/>
      <c r="D454" s="17"/>
      <c r="E454" s="17"/>
      <c r="F454" s="17" t="s">
        <v>191</v>
      </c>
      <c r="G454" s="54"/>
      <c r="H454" s="54"/>
      <c r="J454" s="137"/>
    </row>
    <row r="455" spans="1:10" s="21" customFormat="1" ht="25.5" hidden="1">
      <c r="A455" s="7" t="s">
        <v>34</v>
      </c>
      <c r="B455" s="17"/>
      <c r="C455" s="17"/>
      <c r="D455" s="17"/>
      <c r="E455" s="17"/>
      <c r="F455" s="17" t="s">
        <v>221</v>
      </c>
      <c r="G455" s="54"/>
      <c r="H455" s="54"/>
      <c r="J455" s="137"/>
    </row>
    <row r="456" spans="1:10" s="21" customFormat="1" ht="25.5" hidden="1">
      <c r="A456" s="7" t="s">
        <v>35</v>
      </c>
      <c r="B456" s="17"/>
      <c r="C456" s="17"/>
      <c r="D456" s="17"/>
      <c r="E456" s="17"/>
      <c r="F456" s="17" t="s">
        <v>190</v>
      </c>
      <c r="G456" s="54"/>
      <c r="H456" s="54"/>
      <c r="J456" s="137"/>
    </row>
    <row r="457" spans="1:10" s="21" customFormat="1" ht="51" hidden="1">
      <c r="A457" s="7" t="s">
        <v>36</v>
      </c>
      <c r="B457" s="17"/>
      <c r="C457" s="17"/>
      <c r="D457" s="17"/>
      <c r="E457" s="17"/>
      <c r="F457" s="17" t="s">
        <v>190</v>
      </c>
      <c r="G457" s="54"/>
      <c r="H457" s="54"/>
      <c r="J457" s="137"/>
    </row>
    <row r="458" spans="1:10" s="21" customFormat="1" ht="12.75" hidden="1">
      <c r="A458" s="16" t="s">
        <v>37</v>
      </c>
      <c r="B458" s="17" t="s">
        <v>207</v>
      </c>
      <c r="C458" s="17" t="s">
        <v>141</v>
      </c>
      <c r="D458" s="17" t="s">
        <v>69</v>
      </c>
      <c r="E458" s="17" t="s">
        <v>38</v>
      </c>
      <c r="F458" s="17"/>
      <c r="G458" s="54"/>
      <c r="H458" s="54"/>
      <c r="J458" s="137"/>
    </row>
    <row r="459" spans="1:10" s="21" customFormat="1" ht="38.25" hidden="1">
      <c r="A459" s="11" t="s">
        <v>39</v>
      </c>
      <c r="B459" s="20"/>
      <c r="C459" s="20"/>
      <c r="D459" s="20"/>
      <c r="E459" s="20"/>
      <c r="F459" s="20" t="s">
        <v>183</v>
      </c>
      <c r="G459" s="57"/>
      <c r="H459" s="57"/>
      <c r="J459" s="137"/>
    </row>
    <row r="460" spans="1:10" s="21" customFormat="1" ht="38.25" hidden="1">
      <c r="A460" s="19" t="s">
        <v>40</v>
      </c>
      <c r="B460" s="20"/>
      <c r="C460" s="20"/>
      <c r="D460" s="20"/>
      <c r="E460" s="20"/>
      <c r="F460" s="20" t="s">
        <v>222</v>
      </c>
      <c r="G460" s="57"/>
      <c r="H460" s="57"/>
      <c r="J460" s="137"/>
    </row>
    <row r="461" spans="1:10" s="21" customFormat="1" ht="24.75" customHeight="1" hidden="1">
      <c r="A461" s="12" t="s">
        <v>41</v>
      </c>
      <c r="B461" s="20"/>
      <c r="C461" s="20"/>
      <c r="D461" s="20"/>
      <c r="E461" s="20"/>
      <c r="F461" s="20" t="s">
        <v>192</v>
      </c>
      <c r="G461" s="57"/>
      <c r="H461" s="57"/>
      <c r="J461" s="137"/>
    </row>
    <row r="462" spans="1:10" s="45" customFormat="1" ht="12.75" hidden="1">
      <c r="A462" s="43" t="s">
        <v>42</v>
      </c>
      <c r="B462" s="44" t="s">
        <v>207</v>
      </c>
      <c r="C462" s="44" t="s">
        <v>141</v>
      </c>
      <c r="D462" s="44" t="s">
        <v>69</v>
      </c>
      <c r="E462" s="44" t="s">
        <v>43</v>
      </c>
      <c r="F462" s="44"/>
      <c r="G462" s="61"/>
      <c r="H462" s="61"/>
      <c r="J462" s="133"/>
    </row>
    <row r="463" spans="1:10" s="21" customFormat="1" ht="12.75" hidden="1">
      <c r="A463" s="16" t="s">
        <v>44</v>
      </c>
      <c r="B463" s="17" t="s">
        <v>207</v>
      </c>
      <c r="C463" s="17" t="s">
        <v>141</v>
      </c>
      <c r="D463" s="17" t="s">
        <v>69</v>
      </c>
      <c r="E463" s="17" t="s">
        <v>45</v>
      </c>
      <c r="F463" s="17"/>
      <c r="G463" s="54"/>
      <c r="H463" s="54"/>
      <c r="J463" s="137"/>
    </row>
    <row r="464" spans="1:10" s="21" customFormat="1" ht="12.75" hidden="1">
      <c r="A464" s="6" t="s">
        <v>46</v>
      </c>
      <c r="B464" s="20"/>
      <c r="C464" s="20"/>
      <c r="D464" s="20"/>
      <c r="E464" s="20"/>
      <c r="F464" s="20"/>
      <c r="G464" s="57"/>
      <c r="H464" s="57"/>
      <c r="J464" s="137"/>
    </row>
    <row r="465" spans="1:10" s="45" customFormat="1" ht="12.75" hidden="1">
      <c r="A465" s="43" t="s">
        <v>47</v>
      </c>
      <c r="B465" s="44" t="s">
        <v>207</v>
      </c>
      <c r="C465" s="44" t="s">
        <v>141</v>
      </c>
      <c r="D465" s="44" t="s">
        <v>69</v>
      </c>
      <c r="E465" s="44" t="s">
        <v>48</v>
      </c>
      <c r="F465" s="44"/>
      <c r="G465" s="61"/>
      <c r="H465" s="61"/>
      <c r="J465" s="133"/>
    </row>
    <row r="466" spans="1:10" s="21" customFormat="1" ht="24" customHeight="1" hidden="1">
      <c r="A466" s="12" t="s">
        <v>41</v>
      </c>
      <c r="B466" s="20"/>
      <c r="C466" s="20"/>
      <c r="D466" s="20"/>
      <c r="E466" s="20"/>
      <c r="F466" s="20"/>
      <c r="G466" s="57"/>
      <c r="H466" s="57"/>
      <c r="J466" s="137"/>
    </row>
    <row r="467" spans="1:10" s="45" customFormat="1" ht="12.75" hidden="1">
      <c r="A467" s="43" t="s">
        <v>49</v>
      </c>
      <c r="B467" s="44" t="s">
        <v>207</v>
      </c>
      <c r="C467" s="44" t="s">
        <v>141</v>
      </c>
      <c r="D467" s="44" t="s">
        <v>69</v>
      </c>
      <c r="E467" s="44" t="s">
        <v>50</v>
      </c>
      <c r="F467" s="44"/>
      <c r="G467" s="61"/>
      <c r="H467" s="61"/>
      <c r="J467" s="133"/>
    </row>
    <row r="468" spans="1:10" s="21" customFormat="1" ht="12.75" hidden="1">
      <c r="A468" s="16" t="s">
        <v>51</v>
      </c>
      <c r="B468" s="17" t="s">
        <v>207</v>
      </c>
      <c r="C468" s="17" t="s">
        <v>141</v>
      </c>
      <c r="D468" s="17" t="s">
        <v>69</v>
      </c>
      <c r="E468" s="17" t="s">
        <v>52</v>
      </c>
      <c r="F468" s="17"/>
      <c r="G468" s="54"/>
      <c r="H468" s="54"/>
      <c r="J468" s="137"/>
    </row>
    <row r="469" spans="1:10" s="21" customFormat="1" ht="12.75" hidden="1">
      <c r="A469" s="7" t="s">
        <v>53</v>
      </c>
      <c r="B469" s="20"/>
      <c r="C469" s="20"/>
      <c r="D469" s="20"/>
      <c r="E469" s="20"/>
      <c r="F469" s="20" t="s">
        <v>223</v>
      </c>
      <c r="G469" s="57"/>
      <c r="H469" s="57"/>
      <c r="J469" s="137"/>
    </row>
    <row r="470" spans="1:10" s="21" customFormat="1" ht="51" hidden="1">
      <c r="A470" s="7" t="s">
        <v>54</v>
      </c>
      <c r="B470" s="20"/>
      <c r="C470" s="20"/>
      <c r="D470" s="20"/>
      <c r="E470" s="20"/>
      <c r="F470" s="20" t="s">
        <v>194</v>
      </c>
      <c r="G470" s="57"/>
      <c r="H470" s="57"/>
      <c r="J470" s="137"/>
    </row>
    <row r="471" spans="1:10" s="21" customFormat="1" ht="50.25" customHeight="1" hidden="1">
      <c r="A471" s="7" t="s">
        <v>55</v>
      </c>
      <c r="B471" s="20"/>
      <c r="C471" s="20"/>
      <c r="D471" s="20"/>
      <c r="E471" s="20"/>
      <c r="F471" s="20" t="s">
        <v>193</v>
      </c>
      <c r="G471" s="57"/>
      <c r="H471" s="57"/>
      <c r="J471" s="137"/>
    </row>
    <row r="472" spans="1:10" s="21" customFormat="1" ht="15" customHeight="1" hidden="1">
      <c r="A472" s="16" t="s">
        <v>56</v>
      </c>
      <c r="B472" s="17" t="s">
        <v>207</v>
      </c>
      <c r="C472" s="17" t="s">
        <v>141</v>
      </c>
      <c r="D472" s="17" t="s">
        <v>69</v>
      </c>
      <c r="E472" s="17" t="s">
        <v>57</v>
      </c>
      <c r="F472" s="17"/>
      <c r="G472" s="54"/>
      <c r="H472" s="54"/>
      <c r="J472" s="137"/>
    </row>
    <row r="473" spans="1:10" s="21" customFormat="1" ht="25.5" hidden="1">
      <c r="A473" s="7" t="s">
        <v>58</v>
      </c>
      <c r="B473" s="20"/>
      <c r="C473" s="20"/>
      <c r="D473" s="20"/>
      <c r="E473" s="20"/>
      <c r="F473" s="20" t="s">
        <v>195</v>
      </c>
      <c r="G473" s="57"/>
      <c r="H473" s="57"/>
      <c r="J473" s="137"/>
    </row>
    <row r="474" spans="1:10" s="21" customFormat="1" ht="12.75" hidden="1">
      <c r="A474" s="7" t="s">
        <v>59</v>
      </c>
      <c r="B474" s="20"/>
      <c r="C474" s="20"/>
      <c r="D474" s="20"/>
      <c r="E474" s="20"/>
      <c r="F474" s="20" t="s">
        <v>196</v>
      </c>
      <c r="G474" s="57"/>
      <c r="H474" s="57"/>
      <c r="J474" s="137"/>
    </row>
    <row r="475" spans="1:10" s="21" customFormat="1" ht="12.75" hidden="1">
      <c r="A475" s="7" t="s">
        <v>60</v>
      </c>
      <c r="B475" s="20"/>
      <c r="C475" s="20"/>
      <c r="D475" s="20"/>
      <c r="E475" s="20"/>
      <c r="F475" s="20" t="s">
        <v>197</v>
      </c>
      <c r="G475" s="57"/>
      <c r="H475" s="57"/>
      <c r="J475" s="137"/>
    </row>
    <row r="476" spans="1:10" s="21" customFormat="1" ht="38.25" hidden="1">
      <c r="A476" s="7" t="s">
        <v>61</v>
      </c>
      <c r="B476" s="20"/>
      <c r="C476" s="20"/>
      <c r="D476" s="20"/>
      <c r="E476" s="20"/>
      <c r="F476" s="20" t="s">
        <v>198</v>
      </c>
      <c r="G476" s="57"/>
      <c r="H476" s="57"/>
      <c r="J476" s="137"/>
    </row>
    <row r="477" spans="1:10" s="21" customFormat="1" ht="25.5" hidden="1">
      <c r="A477" s="26" t="s">
        <v>72</v>
      </c>
      <c r="B477" s="24" t="s">
        <v>158</v>
      </c>
      <c r="C477" s="24" t="s">
        <v>140</v>
      </c>
      <c r="D477" s="24" t="s">
        <v>69</v>
      </c>
      <c r="E477" s="24"/>
      <c r="F477" s="24"/>
      <c r="G477" s="63">
        <f>SUM(H477:H477)</f>
        <v>1394.9</v>
      </c>
      <c r="H477" s="63">
        <f>SUM(H478,H486,H506,H509,H511)</f>
        <v>1394.9</v>
      </c>
      <c r="J477" s="137"/>
    </row>
    <row r="478" spans="1:10" s="45" customFormat="1" ht="15.75" customHeight="1" hidden="1">
      <c r="A478" s="43" t="s">
        <v>4</v>
      </c>
      <c r="B478" s="44" t="s">
        <v>158</v>
      </c>
      <c r="C478" s="44" t="s">
        <v>140</v>
      </c>
      <c r="D478" s="44" t="s">
        <v>69</v>
      </c>
      <c r="E478" s="44" t="s">
        <v>5</v>
      </c>
      <c r="F478" s="44"/>
      <c r="G478" s="61">
        <f>SUM(G479,G480,G485)</f>
        <v>1015.5</v>
      </c>
      <c r="H478" s="61">
        <f>SUM(H479,H480,H485)</f>
        <v>1015.5</v>
      </c>
      <c r="J478" s="133"/>
    </row>
    <row r="479" spans="1:10" s="21" customFormat="1" ht="12.75" hidden="1">
      <c r="A479" s="16" t="s">
        <v>6</v>
      </c>
      <c r="B479" s="17" t="s">
        <v>158</v>
      </c>
      <c r="C479" s="17" t="s">
        <v>140</v>
      </c>
      <c r="D479" s="17" t="s">
        <v>69</v>
      </c>
      <c r="E479" s="17" t="s">
        <v>7</v>
      </c>
      <c r="F479" s="17"/>
      <c r="G479" s="54">
        <f>SUM(H479:H479)</f>
        <v>572</v>
      </c>
      <c r="H479" s="54">
        <v>572</v>
      </c>
      <c r="J479" s="137"/>
    </row>
    <row r="480" spans="1:10" s="21" customFormat="1" ht="12.75" hidden="1">
      <c r="A480" s="16" t="s">
        <v>8</v>
      </c>
      <c r="B480" s="17" t="s">
        <v>158</v>
      </c>
      <c r="C480" s="17" t="s">
        <v>140</v>
      </c>
      <c r="D480" s="17" t="s">
        <v>69</v>
      </c>
      <c r="E480" s="17" t="s">
        <v>9</v>
      </c>
      <c r="F480" s="17"/>
      <c r="G480" s="54">
        <f>SUM(G481:G484)</f>
        <v>293.6</v>
      </c>
      <c r="H480" s="54">
        <f>SUM(H481:H484)</f>
        <v>293.6</v>
      </c>
      <c r="J480" s="137"/>
    </row>
    <row r="481" spans="1:10" s="21" customFormat="1" ht="25.5" hidden="1">
      <c r="A481" s="11" t="s">
        <v>10</v>
      </c>
      <c r="B481" s="4"/>
      <c r="C481" s="4"/>
      <c r="D481" s="4"/>
      <c r="E481" s="4"/>
      <c r="F481" s="4" t="s">
        <v>183</v>
      </c>
      <c r="G481" s="55">
        <f aca="true" t="shared" si="4" ref="G481:G487">SUM(H481:H481)</f>
        <v>0.6</v>
      </c>
      <c r="H481" s="55">
        <v>0.6</v>
      </c>
      <c r="J481" s="137"/>
    </row>
    <row r="482" spans="1:10" s="21" customFormat="1" ht="15.75" customHeight="1" hidden="1">
      <c r="A482" s="12" t="s">
        <v>11</v>
      </c>
      <c r="B482" s="4"/>
      <c r="C482" s="4"/>
      <c r="D482" s="4"/>
      <c r="E482" s="4"/>
      <c r="F482" s="4" t="s">
        <v>200</v>
      </c>
      <c r="G482" s="55">
        <f t="shared" si="4"/>
        <v>15</v>
      </c>
      <c r="H482" s="55">
        <v>15</v>
      </c>
      <c r="J482" s="137"/>
    </row>
    <row r="483" spans="1:10" s="30" customFormat="1" ht="10.5" customHeight="1" hidden="1">
      <c r="A483" s="65" t="s">
        <v>130</v>
      </c>
      <c r="B483" s="29"/>
      <c r="C483" s="29"/>
      <c r="D483" s="29"/>
      <c r="E483" s="29"/>
      <c r="F483" s="29" t="s">
        <v>199</v>
      </c>
      <c r="G483" s="58">
        <f t="shared" si="4"/>
        <v>6</v>
      </c>
      <c r="H483" s="58">
        <v>6</v>
      </c>
      <c r="J483" s="135"/>
    </row>
    <row r="484" spans="1:10" s="21" customFormat="1" ht="25.5" hidden="1">
      <c r="A484" s="6" t="s">
        <v>12</v>
      </c>
      <c r="B484" s="4"/>
      <c r="C484" s="4"/>
      <c r="D484" s="4"/>
      <c r="E484" s="4"/>
      <c r="F484" s="4" t="s">
        <v>184</v>
      </c>
      <c r="G484" s="55">
        <f t="shared" si="4"/>
        <v>272</v>
      </c>
      <c r="H484" s="55">
        <v>272</v>
      </c>
      <c r="J484" s="137"/>
    </row>
    <row r="485" spans="1:10" s="21" customFormat="1" ht="12.75" hidden="1">
      <c r="A485" s="16" t="s">
        <v>13</v>
      </c>
      <c r="B485" s="17" t="s">
        <v>158</v>
      </c>
      <c r="C485" s="17" t="s">
        <v>140</v>
      </c>
      <c r="D485" s="17" t="s">
        <v>69</v>
      </c>
      <c r="E485" s="17" t="s">
        <v>14</v>
      </c>
      <c r="F485" s="17"/>
      <c r="G485" s="56">
        <f t="shared" si="4"/>
        <v>149.9</v>
      </c>
      <c r="H485" s="54">
        <v>149.9</v>
      </c>
      <c r="J485" s="137"/>
    </row>
    <row r="486" spans="1:10" s="45" customFormat="1" ht="12.75" hidden="1">
      <c r="A486" s="43" t="s">
        <v>15</v>
      </c>
      <c r="B486" s="44" t="s">
        <v>158</v>
      </c>
      <c r="C486" s="44" t="s">
        <v>140</v>
      </c>
      <c r="D486" s="44" t="s">
        <v>69</v>
      </c>
      <c r="E486" s="44" t="s">
        <v>16</v>
      </c>
      <c r="F486" s="44"/>
      <c r="G486" s="61">
        <f t="shared" si="4"/>
        <v>266.90000000000003</v>
      </c>
      <c r="H486" s="61">
        <f>SUM(H487:H488,H491,H495,H496,H502,)</f>
        <v>266.90000000000003</v>
      </c>
      <c r="J486" s="133"/>
    </row>
    <row r="487" spans="1:10" s="21" customFormat="1" ht="12.75" hidden="1">
      <c r="A487" s="16" t="s">
        <v>17</v>
      </c>
      <c r="B487" s="17" t="s">
        <v>158</v>
      </c>
      <c r="C487" s="17" t="s">
        <v>140</v>
      </c>
      <c r="D487" s="17" t="s">
        <v>69</v>
      </c>
      <c r="E487" s="17" t="s">
        <v>18</v>
      </c>
      <c r="F487" s="17"/>
      <c r="G487" s="54">
        <f t="shared" si="4"/>
        <v>8</v>
      </c>
      <c r="H487" s="54">
        <v>8</v>
      </c>
      <c r="J487" s="137"/>
    </row>
    <row r="488" spans="1:10" s="21" customFormat="1" ht="12.75" hidden="1">
      <c r="A488" s="16" t="s">
        <v>21</v>
      </c>
      <c r="B488" s="17" t="s">
        <v>158</v>
      </c>
      <c r="C488" s="17" t="s">
        <v>140</v>
      </c>
      <c r="D488" s="17" t="s">
        <v>69</v>
      </c>
      <c r="E488" s="17" t="s">
        <v>19</v>
      </c>
      <c r="F488" s="17"/>
      <c r="G488" s="54">
        <f>SUM(G489:G490)</f>
        <v>10.1</v>
      </c>
      <c r="H488" s="54">
        <f>SUM(H489:H490)</f>
        <v>10.1</v>
      </c>
      <c r="J488" s="137"/>
    </row>
    <row r="489" spans="1:10" s="21" customFormat="1" ht="25.5" hidden="1">
      <c r="A489" s="11" t="s">
        <v>20</v>
      </c>
      <c r="B489" s="4"/>
      <c r="C489" s="4"/>
      <c r="D489" s="4"/>
      <c r="E489" s="4"/>
      <c r="F489" s="4" t="s">
        <v>183</v>
      </c>
      <c r="G489" s="55">
        <f>SUM(H489:H489)</f>
        <v>10.1</v>
      </c>
      <c r="H489" s="55">
        <v>10.1</v>
      </c>
      <c r="J489" s="137"/>
    </row>
    <row r="490" spans="1:10" s="21" customFormat="1" ht="38.25" hidden="1">
      <c r="A490" s="8" t="s">
        <v>22</v>
      </c>
      <c r="B490" s="4"/>
      <c r="C490" s="4"/>
      <c r="D490" s="4"/>
      <c r="E490" s="4"/>
      <c r="F490" s="4" t="s">
        <v>185</v>
      </c>
      <c r="G490" s="55">
        <f>SUM(H490:H490)</f>
        <v>0</v>
      </c>
      <c r="H490" s="55"/>
      <c r="J490" s="137"/>
    </row>
    <row r="491" spans="1:10" s="21" customFormat="1" ht="12.75" hidden="1">
      <c r="A491" s="16" t="s">
        <v>23</v>
      </c>
      <c r="B491" s="17" t="s">
        <v>158</v>
      </c>
      <c r="C491" s="17" t="s">
        <v>140</v>
      </c>
      <c r="D491" s="17" t="s">
        <v>69</v>
      </c>
      <c r="E491" s="17" t="s">
        <v>24</v>
      </c>
      <c r="F491" s="17"/>
      <c r="G491" s="54">
        <f>SUM(G492:G494)</f>
        <v>112.80000000000001</v>
      </c>
      <c r="H491" s="54">
        <f>SUM(H492:H494)</f>
        <v>112.80000000000001</v>
      </c>
      <c r="J491" s="137"/>
    </row>
    <row r="492" spans="1:10" s="21" customFormat="1" ht="25.5" hidden="1">
      <c r="A492" s="7" t="s">
        <v>25</v>
      </c>
      <c r="B492" s="4"/>
      <c r="C492" s="4"/>
      <c r="D492" s="4"/>
      <c r="E492" s="4"/>
      <c r="F492" s="4" t="s">
        <v>186</v>
      </c>
      <c r="G492" s="55">
        <f>SUM(H492:H492)</f>
        <v>86.7</v>
      </c>
      <c r="H492" s="55">
        <v>86.7</v>
      </c>
      <c r="J492" s="137"/>
    </row>
    <row r="493" spans="1:10" s="21" customFormat="1" ht="25.5" hidden="1">
      <c r="A493" s="7" t="s">
        <v>26</v>
      </c>
      <c r="B493" s="4"/>
      <c r="C493" s="4"/>
      <c r="D493" s="4"/>
      <c r="E493" s="4"/>
      <c r="F493" s="4" t="s">
        <v>187</v>
      </c>
      <c r="G493" s="55">
        <f>SUM(H493:H493)</f>
        <v>17.7</v>
      </c>
      <c r="H493" s="55">
        <v>17.7</v>
      </c>
      <c r="J493" s="137"/>
    </row>
    <row r="494" spans="1:10" s="21" customFormat="1" ht="12.75" hidden="1">
      <c r="A494" s="7" t="s">
        <v>27</v>
      </c>
      <c r="B494" s="4"/>
      <c r="C494" s="4"/>
      <c r="D494" s="4"/>
      <c r="E494" s="4"/>
      <c r="F494" s="4" t="s">
        <v>188</v>
      </c>
      <c r="G494" s="55">
        <f>SUM(H494:H494)</f>
        <v>8.4</v>
      </c>
      <c r="H494" s="55">
        <v>8.4</v>
      </c>
      <c r="J494" s="137"/>
    </row>
    <row r="495" spans="1:10" s="21" customFormat="1" ht="9.75" customHeight="1" hidden="1">
      <c r="A495" s="16" t="s">
        <v>28</v>
      </c>
      <c r="B495" s="17" t="s">
        <v>158</v>
      </c>
      <c r="C495" s="17" t="s">
        <v>140</v>
      </c>
      <c r="D495" s="17" t="s">
        <v>69</v>
      </c>
      <c r="E495" s="17" t="s">
        <v>29</v>
      </c>
      <c r="F495" s="17"/>
      <c r="G495" s="55">
        <f>SUM(H495:H495)</f>
        <v>0</v>
      </c>
      <c r="H495" s="54"/>
      <c r="J495" s="137"/>
    </row>
    <row r="496" spans="1:10" s="21" customFormat="1" ht="12.75" hidden="1">
      <c r="A496" s="16" t="s">
        <v>30</v>
      </c>
      <c r="B496" s="17" t="s">
        <v>158</v>
      </c>
      <c r="C496" s="17" t="s">
        <v>140</v>
      </c>
      <c r="D496" s="17" t="s">
        <v>69</v>
      </c>
      <c r="E496" s="17" t="s">
        <v>31</v>
      </c>
      <c r="F496" s="17"/>
      <c r="G496" s="54">
        <f>SUM(G497:G501)</f>
        <v>110.7</v>
      </c>
      <c r="H496" s="54">
        <f>SUM(H497:H501)</f>
        <v>110.7</v>
      </c>
      <c r="J496" s="137"/>
    </row>
    <row r="497" spans="1:10" s="21" customFormat="1" ht="12.75" hidden="1">
      <c r="A497" s="7" t="s">
        <v>32</v>
      </c>
      <c r="B497" s="17"/>
      <c r="C497" s="17"/>
      <c r="D497" s="17"/>
      <c r="E497" s="17"/>
      <c r="F497" s="17" t="s">
        <v>189</v>
      </c>
      <c r="G497" s="54">
        <f>SUM(H497:H497)</f>
        <v>36.7</v>
      </c>
      <c r="H497" s="54">
        <v>36.7</v>
      </c>
      <c r="J497" s="137"/>
    </row>
    <row r="498" spans="1:10" s="21" customFormat="1" ht="12.75" hidden="1">
      <c r="A498" s="7" t="s">
        <v>33</v>
      </c>
      <c r="B498" s="17"/>
      <c r="C498" s="17"/>
      <c r="D498" s="17"/>
      <c r="E498" s="17"/>
      <c r="F498" s="17" t="s">
        <v>191</v>
      </c>
      <c r="G498" s="54">
        <f>SUM(H498:H498)</f>
        <v>0</v>
      </c>
      <c r="H498" s="54"/>
      <c r="J498" s="137"/>
    </row>
    <row r="499" spans="1:10" s="21" customFormat="1" ht="25.5" hidden="1">
      <c r="A499" s="7" t="s">
        <v>34</v>
      </c>
      <c r="B499" s="17"/>
      <c r="C499" s="17"/>
      <c r="D499" s="17"/>
      <c r="E499" s="17"/>
      <c r="F499" s="17" t="s">
        <v>221</v>
      </c>
      <c r="G499" s="54">
        <f>SUM(H499:H499)</f>
        <v>0</v>
      </c>
      <c r="H499" s="54"/>
      <c r="J499" s="137"/>
    </row>
    <row r="500" spans="1:10" s="21" customFormat="1" ht="25.5" hidden="1">
      <c r="A500" s="7" t="s">
        <v>35</v>
      </c>
      <c r="B500" s="17"/>
      <c r="C500" s="17"/>
      <c r="D500" s="17"/>
      <c r="E500" s="17"/>
      <c r="F500" s="17" t="s">
        <v>190</v>
      </c>
      <c r="G500" s="54">
        <f>SUM(H500:H500)</f>
        <v>74</v>
      </c>
      <c r="H500" s="54">
        <v>74</v>
      </c>
      <c r="J500" s="137"/>
    </row>
    <row r="501" spans="1:10" s="21" customFormat="1" ht="51" hidden="1">
      <c r="A501" s="7" t="s">
        <v>36</v>
      </c>
      <c r="B501" s="17"/>
      <c r="C501" s="17"/>
      <c r="D501" s="17"/>
      <c r="E501" s="17"/>
      <c r="F501" s="17" t="s">
        <v>190</v>
      </c>
      <c r="G501" s="54">
        <f>SUM(H501:H501)</f>
        <v>0</v>
      </c>
      <c r="H501" s="54"/>
      <c r="J501" s="137"/>
    </row>
    <row r="502" spans="1:10" s="21" customFormat="1" ht="12.75" hidden="1">
      <c r="A502" s="16" t="s">
        <v>37</v>
      </c>
      <c r="B502" s="17" t="s">
        <v>158</v>
      </c>
      <c r="C502" s="17" t="s">
        <v>140</v>
      </c>
      <c r="D502" s="17" t="s">
        <v>69</v>
      </c>
      <c r="E502" s="17" t="s">
        <v>38</v>
      </c>
      <c r="F502" s="17"/>
      <c r="G502" s="54">
        <f>SUM(G503:G505)</f>
        <v>25.3</v>
      </c>
      <c r="H502" s="54">
        <f>SUM(H503:H505)</f>
        <v>25.3</v>
      </c>
      <c r="J502" s="137"/>
    </row>
    <row r="503" spans="1:10" s="21" customFormat="1" ht="38.25" hidden="1">
      <c r="A503" s="11" t="s">
        <v>39</v>
      </c>
      <c r="B503" s="20"/>
      <c r="C503" s="20"/>
      <c r="D503" s="20"/>
      <c r="E503" s="20"/>
      <c r="F503" s="20" t="s">
        <v>183</v>
      </c>
      <c r="G503" s="57">
        <f>SUM(H503:H503)</f>
        <v>3.7</v>
      </c>
      <c r="H503" s="57">
        <v>3.7</v>
      </c>
      <c r="J503" s="137"/>
    </row>
    <row r="504" spans="1:10" s="21" customFormat="1" ht="38.25" hidden="1">
      <c r="A504" s="19" t="s">
        <v>40</v>
      </c>
      <c r="B504" s="20"/>
      <c r="C504" s="20"/>
      <c r="D504" s="20"/>
      <c r="E504" s="20"/>
      <c r="F504" s="20" t="s">
        <v>222</v>
      </c>
      <c r="G504" s="57">
        <f>SUM(H504:H504)</f>
        <v>0</v>
      </c>
      <c r="H504" s="57"/>
      <c r="J504" s="137"/>
    </row>
    <row r="505" spans="1:10" s="21" customFormat="1" ht="24.75" customHeight="1" hidden="1">
      <c r="A505" s="12" t="s">
        <v>41</v>
      </c>
      <c r="B505" s="20"/>
      <c r="C505" s="20"/>
      <c r="D505" s="20"/>
      <c r="E505" s="20"/>
      <c r="F505" s="20" t="s">
        <v>192</v>
      </c>
      <c r="G505" s="57">
        <f>SUM(H505:H505)</f>
        <v>21.6</v>
      </c>
      <c r="H505" s="57">
        <v>21.6</v>
      </c>
      <c r="J505" s="137"/>
    </row>
    <row r="506" spans="1:10" s="45" customFormat="1" ht="12.75" hidden="1">
      <c r="A506" s="43" t="s">
        <v>42</v>
      </c>
      <c r="B506" s="44" t="s">
        <v>158</v>
      </c>
      <c r="C506" s="44" t="s">
        <v>140</v>
      </c>
      <c r="D506" s="44" t="s">
        <v>69</v>
      </c>
      <c r="E506" s="44" t="s">
        <v>43</v>
      </c>
      <c r="F506" s="44"/>
      <c r="G506" s="61">
        <f>SUM(G507)</f>
        <v>0</v>
      </c>
      <c r="H506" s="61">
        <f>SUM(H507)</f>
        <v>0</v>
      </c>
      <c r="J506" s="133"/>
    </row>
    <row r="507" spans="1:10" s="21" customFormat="1" ht="12.75" hidden="1">
      <c r="A507" s="16" t="s">
        <v>44</v>
      </c>
      <c r="B507" s="17" t="s">
        <v>158</v>
      </c>
      <c r="C507" s="17" t="s">
        <v>140</v>
      </c>
      <c r="D507" s="17" t="s">
        <v>69</v>
      </c>
      <c r="E507" s="17" t="s">
        <v>45</v>
      </c>
      <c r="F507" s="17"/>
      <c r="G507" s="54">
        <f>SUM(H507:H507)</f>
        <v>0</v>
      </c>
      <c r="H507" s="54">
        <f>SUM(H508)</f>
        <v>0</v>
      </c>
      <c r="J507" s="137"/>
    </row>
    <row r="508" spans="1:10" s="21" customFormat="1" ht="12.75" hidden="1">
      <c r="A508" s="6" t="s">
        <v>46</v>
      </c>
      <c r="B508" s="20"/>
      <c r="C508" s="20"/>
      <c r="D508" s="20"/>
      <c r="E508" s="20"/>
      <c r="F508" s="20"/>
      <c r="G508" s="57">
        <f>SUM(H508:H508)</f>
        <v>0</v>
      </c>
      <c r="H508" s="57"/>
      <c r="J508" s="137"/>
    </row>
    <row r="509" spans="1:10" s="45" customFormat="1" ht="12.75" hidden="1">
      <c r="A509" s="43" t="s">
        <v>47</v>
      </c>
      <c r="B509" s="44" t="s">
        <v>158</v>
      </c>
      <c r="C509" s="44" t="s">
        <v>140</v>
      </c>
      <c r="D509" s="44" t="s">
        <v>69</v>
      </c>
      <c r="E509" s="44" t="s">
        <v>48</v>
      </c>
      <c r="F509" s="44"/>
      <c r="G509" s="61">
        <f>SUM(H509:H509)</f>
        <v>45</v>
      </c>
      <c r="H509" s="61">
        <f>SUM(H510)</f>
        <v>45</v>
      </c>
      <c r="J509" s="133"/>
    </row>
    <row r="510" spans="1:10" s="21" customFormat="1" ht="25.5" customHeight="1" hidden="1">
      <c r="A510" s="12" t="s">
        <v>41</v>
      </c>
      <c r="B510" s="20"/>
      <c r="C510" s="20"/>
      <c r="D510" s="20"/>
      <c r="E510" s="20"/>
      <c r="F510" s="20"/>
      <c r="G510" s="57">
        <f>SUM(H510:H510)</f>
        <v>45</v>
      </c>
      <c r="H510" s="57">
        <v>45</v>
      </c>
      <c r="J510" s="137"/>
    </row>
    <row r="511" spans="1:10" s="45" customFormat="1" ht="12.75" hidden="1">
      <c r="A511" s="43" t="s">
        <v>49</v>
      </c>
      <c r="B511" s="44" t="s">
        <v>158</v>
      </c>
      <c r="C511" s="44" t="s">
        <v>140</v>
      </c>
      <c r="D511" s="44" t="s">
        <v>69</v>
      </c>
      <c r="E511" s="44" t="s">
        <v>50</v>
      </c>
      <c r="F511" s="44"/>
      <c r="G511" s="61">
        <f>SUM(G512,G516)</f>
        <v>67.5</v>
      </c>
      <c r="H511" s="61">
        <f>SUM(H512,H516)</f>
        <v>67.5</v>
      </c>
      <c r="J511" s="133"/>
    </row>
    <row r="512" spans="1:10" s="21" customFormat="1" ht="12.75" hidden="1">
      <c r="A512" s="16" t="s">
        <v>51</v>
      </c>
      <c r="B512" s="17" t="s">
        <v>158</v>
      </c>
      <c r="C512" s="17" t="s">
        <v>140</v>
      </c>
      <c r="D512" s="17" t="s">
        <v>69</v>
      </c>
      <c r="E512" s="17" t="s">
        <v>52</v>
      </c>
      <c r="F512" s="17"/>
      <c r="G512" s="54">
        <f>SUM(G513:G515)</f>
        <v>35</v>
      </c>
      <c r="H512" s="54">
        <f>SUM(H513:H515)</f>
        <v>35</v>
      </c>
      <c r="J512" s="137"/>
    </row>
    <row r="513" spans="1:10" s="21" customFormat="1" ht="12.75" hidden="1">
      <c r="A513" s="7" t="s">
        <v>53</v>
      </c>
      <c r="B513" s="20"/>
      <c r="C513" s="20"/>
      <c r="D513" s="20"/>
      <c r="E513" s="20"/>
      <c r="F513" s="20" t="s">
        <v>223</v>
      </c>
      <c r="G513" s="57">
        <f>SUM(H513:H513)</f>
        <v>10</v>
      </c>
      <c r="H513" s="57">
        <v>10</v>
      </c>
      <c r="J513" s="137"/>
    </row>
    <row r="514" spans="1:10" s="21" customFormat="1" ht="51" hidden="1">
      <c r="A514" s="7" t="s">
        <v>54</v>
      </c>
      <c r="B514" s="20"/>
      <c r="C514" s="20"/>
      <c r="D514" s="20"/>
      <c r="E514" s="20"/>
      <c r="F514" s="20" t="s">
        <v>194</v>
      </c>
      <c r="G514" s="57">
        <f>SUM(H514:H514)</f>
        <v>25</v>
      </c>
      <c r="H514" s="57">
        <v>25</v>
      </c>
      <c r="J514" s="137"/>
    </row>
    <row r="515" spans="1:10" s="21" customFormat="1" ht="48" customHeight="1" hidden="1">
      <c r="A515" s="7" t="s">
        <v>55</v>
      </c>
      <c r="B515" s="20"/>
      <c r="C515" s="20"/>
      <c r="D515" s="20"/>
      <c r="E515" s="20"/>
      <c r="F515" s="20" t="s">
        <v>193</v>
      </c>
      <c r="G515" s="57">
        <f>SUM(H515:H515)</f>
        <v>0</v>
      </c>
      <c r="H515" s="57"/>
      <c r="J515" s="137"/>
    </row>
    <row r="516" spans="1:10" s="21" customFormat="1" ht="15" customHeight="1" hidden="1">
      <c r="A516" s="16" t="s">
        <v>56</v>
      </c>
      <c r="B516" s="17" t="s">
        <v>158</v>
      </c>
      <c r="C516" s="17" t="s">
        <v>140</v>
      </c>
      <c r="D516" s="17" t="s">
        <v>69</v>
      </c>
      <c r="E516" s="17" t="s">
        <v>57</v>
      </c>
      <c r="F516" s="17"/>
      <c r="G516" s="54">
        <f>SUM(G517:G520)</f>
        <v>32.5</v>
      </c>
      <c r="H516" s="54">
        <f>SUM(H517:H520)</f>
        <v>32.5</v>
      </c>
      <c r="J516" s="137"/>
    </row>
    <row r="517" spans="1:10" s="21" customFormat="1" ht="25.5" hidden="1">
      <c r="A517" s="7" t="s">
        <v>58</v>
      </c>
      <c r="B517" s="20"/>
      <c r="C517" s="20"/>
      <c r="D517" s="20"/>
      <c r="E517" s="20"/>
      <c r="F517" s="20" t="s">
        <v>195</v>
      </c>
      <c r="G517" s="57">
        <f>SUM(H517:H517)</f>
        <v>2.5</v>
      </c>
      <c r="H517" s="57">
        <v>2.5</v>
      </c>
      <c r="J517" s="137"/>
    </row>
    <row r="518" spans="1:10" s="21" customFormat="1" ht="12.75" hidden="1">
      <c r="A518" s="7" t="s">
        <v>59</v>
      </c>
      <c r="B518" s="20"/>
      <c r="C518" s="20"/>
      <c r="D518" s="20"/>
      <c r="E518" s="20"/>
      <c r="F518" s="20" t="s">
        <v>196</v>
      </c>
      <c r="G518" s="57">
        <f>SUM(H518:H518)</f>
        <v>0</v>
      </c>
      <c r="H518" s="57"/>
      <c r="J518" s="137"/>
    </row>
    <row r="519" spans="1:10" s="21" customFormat="1" ht="12.75" hidden="1">
      <c r="A519" s="7" t="s">
        <v>60</v>
      </c>
      <c r="B519" s="20"/>
      <c r="C519" s="20"/>
      <c r="D519" s="20"/>
      <c r="E519" s="20"/>
      <c r="F519" s="20" t="s">
        <v>197</v>
      </c>
      <c r="G519" s="57">
        <f>SUM(H519:H519)</f>
        <v>0</v>
      </c>
      <c r="H519" s="57"/>
      <c r="J519" s="137"/>
    </row>
    <row r="520" spans="1:10" s="21" customFormat="1" ht="38.25" hidden="1">
      <c r="A520" s="7" t="s">
        <v>61</v>
      </c>
      <c r="B520" s="20"/>
      <c r="C520" s="20"/>
      <c r="D520" s="20"/>
      <c r="E520" s="20"/>
      <c r="F520" s="20" t="s">
        <v>198</v>
      </c>
      <c r="G520" s="57">
        <f>SUM(H520:H520)</f>
        <v>30</v>
      </c>
      <c r="H520" s="57">
        <v>30</v>
      </c>
      <c r="J520" s="137"/>
    </row>
    <row r="521" spans="1:14" s="21" customFormat="1" ht="12.75" hidden="1">
      <c r="A521" s="23" t="s">
        <v>73</v>
      </c>
      <c r="B521" s="24" t="s">
        <v>158</v>
      </c>
      <c r="C521" s="24" t="s">
        <v>140</v>
      </c>
      <c r="D521" s="24" t="s">
        <v>69</v>
      </c>
      <c r="E521" s="24"/>
      <c r="F521" s="24"/>
      <c r="G521" s="63">
        <f>SUM(H521:H521)</f>
        <v>1291</v>
      </c>
      <c r="H521" s="63">
        <f>SUM(H522,H530,H550,H553,H555)</f>
        <v>1291</v>
      </c>
      <c r="J521" s="73"/>
      <c r="K521" s="73"/>
      <c r="L521" s="73"/>
      <c r="M521" s="73"/>
      <c r="N521" s="73"/>
    </row>
    <row r="522" spans="1:14" s="45" customFormat="1" ht="16.5" customHeight="1" hidden="1">
      <c r="A522" s="43" t="s">
        <v>4</v>
      </c>
      <c r="B522" s="44" t="s">
        <v>158</v>
      </c>
      <c r="C522" s="44" t="s">
        <v>140</v>
      </c>
      <c r="D522" s="44" t="s">
        <v>69</v>
      </c>
      <c r="E522" s="44" t="s">
        <v>5</v>
      </c>
      <c r="F522" s="44"/>
      <c r="G522" s="61">
        <f>SUM(G523,G524,G529)</f>
        <v>1109.3</v>
      </c>
      <c r="H522" s="61">
        <f>SUM(H523,H524,H529)</f>
        <v>1109.3</v>
      </c>
      <c r="J522" s="93"/>
      <c r="K522" s="93"/>
      <c r="L522" s="93"/>
      <c r="M522" s="93"/>
      <c r="N522" s="93"/>
    </row>
    <row r="523" spans="1:14" s="21" customFormat="1" ht="12.75" hidden="1">
      <c r="A523" s="16" t="s">
        <v>6</v>
      </c>
      <c r="B523" s="17" t="s">
        <v>207</v>
      </c>
      <c r="C523" s="17" t="s">
        <v>140</v>
      </c>
      <c r="D523" s="17" t="s">
        <v>69</v>
      </c>
      <c r="E523" s="17" t="s">
        <v>7</v>
      </c>
      <c r="F523" s="17"/>
      <c r="G523" s="54">
        <f>SUM(H523:H523)</f>
        <v>740</v>
      </c>
      <c r="H523" s="54">
        <v>740</v>
      </c>
      <c r="J523" s="74"/>
      <c r="K523" s="74"/>
      <c r="L523" s="74"/>
      <c r="M523" s="74"/>
      <c r="N523" s="74"/>
    </row>
    <row r="524" spans="1:14" s="21" customFormat="1" ht="12.75" hidden="1">
      <c r="A524" s="16" t="s">
        <v>8</v>
      </c>
      <c r="B524" s="17" t="s">
        <v>207</v>
      </c>
      <c r="C524" s="17" t="s">
        <v>140</v>
      </c>
      <c r="D524" s="17" t="s">
        <v>69</v>
      </c>
      <c r="E524" s="17" t="s">
        <v>9</v>
      </c>
      <c r="F524" s="17"/>
      <c r="G524" s="54">
        <f>SUM(G525:G528)</f>
        <v>175.3</v>
      </c>
      <c r="H524" s="54">
        <f>SUM(H525:H528)</f>
        <v>175.3</v>
      </c>
      <c r="J524" s="74"/>
      <c r="K524" s="74"/>
      <c r="L524" s="74"/>
      <c r="M524" s="74"/>
      <c r="N524" s="74"/>
    </row>
    <row r="525" spans="1:14" s="21" customFormat="1" ht="25.5" hidden="1">
      <c r="A525" s="11" t="s">
        <v>10</v>
      </c>
      <c r="B525" s="4"/>
      <c r="C525" s="4"/>
      <c r="D525" s="4"/>
      <c r="E525" s="4"/>
      <c r="F525" s="4" t="s">
        <v>183</v>
      </c>
      <c r="G525" s="55">
        <f aca="true" t="shared" si="5" ref="G525:G531">SUM(H525:H525)</f>
        <v>0.6</v>
      </c>
      <c r="H525" s="55">
        <v>0.6</v>
      </c>
      <c r="J525" s="75"/>
      <c r="K525" s="75"/>
      <c r="L525" s="75"/>
      <c r="M525" s="75"/>
      <c r="N525" s="75"/>
    </row>
    <row r="526" spans="1:14" s="21" customFormat="1" ht="14.25" customHeight="1" hidden="1">
      <c r="A526" s="12" t="s">
        <v>11</v>
      </c>
      <c r="B526" s="4"/>
      <c r="C526" s="4"/>
      <c r="D526" s="4"/>
      <c r="E526" s="4"/>
      <c r="F526" s="4" t="s">
        <v>200</v>
      </c>
      <c r="G526" s="55">
        <f t="shared" si="5"/>
        <v>20.7</v>
      </c>
      <c r="H526" s="55">
        <v>20.7</v>
      </c>
      <c r="J526" s="75"/>
      <c r="K526" s="75"/>
      <c r="L526" s="75"/>
      <c r="M526" s="75"/>
      <c r="N526" s="75"/>
    </row>
    <row r="527" spans="1:14" s="30" customFormat="1" ht="12.75" hidden="1">
      <c r="A527" s="65" t="s">
        <v>130</v>
      </c>
      <c r="B527" s="29"/>
      <c r="C527" s="29"/>
      <c r="D527" s="29"/>
      <c r="E527" s="29"/>
      <c r="F527" s="29" t="s">
        <v>199</v>
      </c>
      <c r="G527" s="58">
        <f t="shared" si="5"/>
        <v>4</v>
      </c>
      <c r="H527" s="58">
        <v>4</v>
      </c>
      <c r="J527" s="76"/>
      <c r="K527" s="76"/>
      <c r="L527" s="76"/>
      <c r="M527" s="76"/>
      <c r="N527" s="76"/>
    </row>
    <row r="528" spans="1:14" s="21" customFormat="1" ht="25.5" hidden="1">
      <c r="A528" s="6" t="s">
        <v>12</v>
      </c>
      <c r="B528" s="4"/>
      <c r="C528" s="4"/>
      <c r="D528" s="4"/>
      <c r="E528" s="4"/>
      <c r="F528" s="4" t="s">
        <v>184</v>
      </c>
      <c r="G528" s="55">
        <f t="shared" si="5"/>
        <v>150</v>
      </c>
      <c r="H528" s="54">
        <v>150</v>
      </c>
      <c r="J528" s="75"/>
      <c r="K528" s="74"/>
      <c r="L528" s="74"/>
      <c r="M528" s="74"/>
      <c r="N528" s="75"/>
    </row>
    <row r="529" spans="1:14" s="21" customFormat="1" ht="12.75" hidden="1">
      <c r="A529" s="16" t="s">
        <v>13</v>
      </c>
      <c r="B529" s="17" t="s">
        <v>207</v>
      </c>
      <c r="C529" s="17" t="s">
        <v>140</v>
      </c>
      <c r="D529" s="17" t="s">
        <v>69</v>
      </c>
      <c r="E529" s="17" t="s">
        <v>14</v>
      </c>
      <c r="F529" s="17"/>
      <c r="G529" s="56">
        <f t="shared" si="5"/>
        <v>194</v>
      </c>
      <c r="H529" s="54">
        <v>194</v>
      </c>
      <c r="J529" s="142"/>
      <c r="K529" s="74"/>
      <c r="L529" s="74"/>
      <c r="M529" s="74"/>
      <c r="N529" s="74"/>
    </row>
    <row r="530" spans="1:14" s="45" customFormat="1" ht="12.75" hidden="1">
      <c r="A530" s="43" t="s">
        <v>15</v>
      </c>
      <c r="B530" s="44" t="s">
        <v>207</v>
      </c>
      <c r="C530" s="44" t="s">
        <v>140</v>
      </c>
      <c r="D530" s="44" t="s">
        <v>69</v>
      </c>
      <c r="E530" s="44" t="s">
        <v>16</v>
      </c>
      <c r="F530" s="44"/>
      <c r="G530" s="61">
        <f t="shared" si="5"/>
        <v>179.2</v>
      </c>
      <c r="H530" s="61">
        <f>SUM(H531:H532,H535,H539,H540,H546,)</f>
        <v>179.2</v>
      </c>
      <c r="J530" s="93"/>
      <c r="K530" s="93"/>
      <c r="L530" s="93"/>
      <c r="M530" s="93"/>
      <c r="N530" s="93"/>
    </row>
    <row r="531" spans="1:14" s="21" customFormat="1" ht="12.75" hidden="1">
      <c r="A531" s="16" t="s">
        <v>17</v>
      </c>
      <c r="B531" s="17" t="s">
        <v>207</v>
      </c>
      <c r="C531" s="17" t="s">
        <v>140</v>
      </c>
      <c r="D531" s="17" t="s">
        <v>69</v>
      </c>
      <c r="E531" s="17" t="s">
        <v>18</v>
      </c>
      <c r="F531" s="17"/>
      <c r="G531" s="54">
        <f t="shared" si="5"/>
        <v>6.5</v>
      </c>
      <c r="H531" s="54">
        <v>6.5</v>
      </c>
      <c r="J531" s="74"/>
      <c r="K531" s="74"/>
      <c r="L531" s="74"/>
      <c r="M531" s="74"/>
      <c r="N531" s="74"/>
    </row>
    <row r="532" spans="1:14" s="21" customFormat="1" ht="12.75" hidden="1">
      <c r="A532" s="16" t="s">
        <v>21</v>
      </c>
      <c r="B532" s="17" t="s">
        <v>207</v>
      </c>
      <c r="C532" s="17" t="s">
        <v>140</v>
      </c>
      <c r="D532" s="17" t="s">
        <v>69</v>
      </c>
      <c r="E532" s="17" t="s">
        <v>19</v>
      </c>
      <c r="F532" s="17"/>
      <c r="G532" s="54">
        <f>SUM(G533:G534)</f>
        <v>10.5</v>
      </c>
      <c r="H532" s="54">
        <f>SUM(H533:H534)</f>
        <v>10.5</v>
      </c>
      <c r="J532" s="74"/>
      <c r="K532" s="74"/>
      <c r="L532" s="74"/>
      <c r="M532" s="74"/>
      <c r="N532" s="74"/>
    </row>
    <row r="533" spans="1:14" s="21" customFormat="1" ht="25.5" hidden="1">
      <c r="A533" s="11" t="s">
        <v>20</v>
      </c>
      <c r="B533" s="4"/>
      <c r="C533" s="4"/>
      <c r="D533" s="4"/>
      <c r="E533" s="4"/>
      <c r="F533" s="4" t="s">
        <v>183</v>
      </c>
      <c r="G533" s="55">
        <f>SUM(H533:H533)</f>
        <v>10.5</v>
      </c>
      <c r="H533" s="55">
        <v>10.5</v>
      </c>
      <c r="J533" s="75"/>
      <c r="K533" s="75"/>
      <c r="L533" s="75"/>
      <c r="M533" s="75"/>
      <c r="N533" s="75"/>
    </row>
    <row r="534" spans="1:14" s="21" customFormat="1" ht="38.25" hidden="1">
      <c r="A534" s="8" t="s">
        <v>22</v>
      </c>
      <c r="B534" s="4"/>
      <c r="C534" s="4"/>
      <c r="D534" s="4"/>
      <c r="E534" s="4"/>
      <c r="F534" s="4" t="s">
        <v>185</v>
      </c>
      <c r="G534" s="55">
        <f>SUM(H534:H534)</f>
        <v>0</v>
      </c>
      <c r="H534" s="55"/>
      <c r="J534" s="75"/>
      <c r="K534" s="75"/>
      <c r="L534" s="75"/>
      <c r="M534" s="75"/>
      <c r="N534" s="75"/>
    </row>
    <row r="535" spans="1:14" s="21" customFormat="1" ht="12.75" hidden="1">
      <c r="A535" s="16" t="s">
        <v>23</v>
      </c>
      <c r="B535" s="17" t="s">
        <v>207</v>
      </c>
      <c r="C535" s="17" t="s">
        <v>140</v>
      </c>
      <c r="D535" s="17" t="s">
        <v>69</v>
      </c>
      <c r="E535" s="17" t="s">
        <v>24</v>
      </c>
      <c r="F535" s="17"/>
      <c r="G535" s="54">
        <f>SUM(G536:G538)</f>
        <v>141.2</v>
      </c>
      <c r="H535" s="54">
        <f>SUM(H536:H538)</f>
        <v>141.2</v>
      </c>
      <c r="J535" s="74"/>
      <c r="K535" s="74"/>
      <c r="L535" s="74"/>
      <c r="M535" s="74"/>
      <c r="N535" s="74"/>
    </row>
    <row r="536" spans="1:14" s="21" customFormat="1" ht="25.5" hidden="1">
      <c r="A536" s="7" t="s">
        <v>25</v>
      </c>
      <c r="B536" s="4"/>
      <c r="C536" s="4"/>
      <c r="D536" s="4"/>
      <c r="E536" s="4"/>
      <c r="F536" s="4" t="s">
        <v>186</v>
      </c>
      <c r="G536" s="55">
        <f>SUM(H536:H536)</f>
        <v>137.1</v>
      </c>
      <c r="H536" s="55">
        <v>137.1</v>
      </c>
      <c r="J536" s="75"/>
      <c r="K536" s="75"/>
      <c r="L536" s="75"/>
      <c r="M536" s="75"/>
      <c r="N536" s="75"/>
    </row>
    <row r="537" spans="1:14" s="21" customFormat="1" ht="25.5" customHeight="1" hidden="1">
      <c r="A537" s="7" t="s">
        <v>26</v>
      </c>
      <c r="B537" s="4"/>
      <c r="C537" s="4"/>
      <c r="D537" s="4"/>
      <c r="E537" s="4"/>
      <c r="F537" s="4" t="s">
        <v>187</v>
      </c>
      <c r="G537" s="55">
        <f>SUM(H537:H537)</f>
        <v>1.5</v>
      </c>
      <c r="H537" s="55">
        <v>1.5</v>
      </c>
      <c r="J537" s="75"/>
      <c r="K537" s="75"/>
      <c r="L537" s="75"/>
      <c r="M537" s="75"/>
      <c r="N537" s="75"/>
    </row>
    <row r="538" spans="1:14" s="21" customFormat="1" ht="12.75" hidden="1">
      <c r="A538" s="7" t="s">
        <v>27</v>
      </c>
      <c r="B538" s="4"/>
      <c r="C538" s="4"/>
      <c r="D538" s="4"/>
      <c r="E538" s="4"/>
      <c r="F538" s="4" t="s">
        <v>188</v>
      </c>
      <c r="G538" s="55">
        <f>SUM(H538:H538)</f>
        <v>2.6</v>
      </c>
      <c r="H538" s="55">
        <v>2.6</v>
      </c>
      <c r="J538" s="75"/>
      <c r="K538" s="75"/>
      <c r="L538" s="75"/>
      <c r="M538" s="75"/>
      <c r="N538" s="75"/>
    </row>
    <row r="539" spans="1:14" s="21" customFormat="1" ht="15.75" customHeight="1" hidden="1">
      <c r="A539" s="16" t="s">
        <v>28</v>
      </c>
      <c r="B539" s="17" t="s">
        <v>207</v>
      </c>
      <c r="C539" s="17" t="s">
        <v>140</v>
      </c>
      <c r="D539" s="17" t="s">
        <v>69</v>
      </c>
      <c r="E539" s="17" t="s">
        <v>29</v>
      </c>
      <c r="F539" s="17"/>
      <c r="G539" s="55">
        <f>SUM(H539:H539)</f>
        <v>0</v>
      </c>
      <c r="H539" s="54"/>
      <c r="J539" s="75"/>
      <c r="K539" s="74"/>
      <c r="L539" s="74"/>
      <c r="M539" s="74"/>
      <c r="N539" s="74"/>
    </row>
    <row r="540" spans="1:14" s="21" customFormat="1" ht="12.75" hidden="1">
      <c r="A540" s="16" t="s">
        <v>30</v>
      </c>
      <c r="B540" s="17" t="s">
        <v>207</v>
      </c>
      <c r="C540" s="17" t="s">
        <v>140</v>
      </c>
      <c r="D540" s="17" t="s">
        <v>69</v>
      </c>
      <c r="E540" s="17" t="s">
        <v>31</v>
      </c>
      <c r="F540" s="17"/>
      <c r="G540" s="54">
        <f>SUM(G541:G545)</f>
        <v>7.8</v>
      </c>
      <c r="H540" s="54">
        <f>SUM(H541:H545)</f>
        <v>7.8</v>
      </c>
      <c r="J540" s="74"/>
      <c r="K540" s="74"/>
      <c r="L540" s="74"/>
      <c r="M540" s="74"/>
      <c r="N540" s="74"/>
    </row>
    <row r="541" spans="1:14" s="21" customFormat="1" ht="12.75" hidden="1">
      <c r="A541" s="7" t="s">
        <v>32</v>
      </c>
      <c r="B541" s="17"/>
      <c r="C541" s="17"/>
      <c r="D541" s="17"/>
      <c r="E541" s="17"/>
      <c r="F541" s="17" t="s">
        <v>189</v>
      </c>
      <c r="G541" s="54">
        <f>SUM(H541:H541)</f>
        <v>7.8</v>
      </c>
      <c r="H541" s="54">
        <v>7.8</v>
      </c>
      <c r="J541" s="74"/>
      <c r="K541" s="74"/>
      <c r="L541" s="74"/>
      <c r="M541" s="74"/>
      <c r="N541" s="74"/>
    </row>
    <row r="542" spans="1:14" s="21" customFormat="1" ht="12.75" hidden="1">
      <c r="A542" s="7" t="s">
        <v>33</v>
      </c>
      <c r="B542" s="17"/>
      <c r="C542" s="17"/>
      <c r="D542" s="17"/>
      <c r="E542" s="17"/>
      <c r="F542" s="17" t="s">
        <v>191</v>
      </c>
      <c r="G542" s="54">
        <f>SUM(H542:H542)</f>
        <v>0</v>
      </c>
      <c r="H542" s="54"/>
      <c r="J542" s="74"/>
      <c r="K542" s="74"/>
      <c r="L542" s="74"/>
      <c r="M542" s="74"/>
      <c r="N542" s="74"/>
    </row>
    <row r="543" spans="1:14" s="21" customFormat="1" ht="25.5" hidden="1">
      <c r="A543" s="7" t="s">
        <v>34</v>
      </c>
      <c r="B543" s="17"/>
      <c r="C543" s="17"/>
      <c r="D543" s="17"/>
      <c r="E543" s="17"/>
      <c r="F543" s="17" t="s">
        <v>221</v>
      </c>
      <c r="G543" s="54">
        <f>SUM(H543:H543)</f>
        <v>0</v>
      </c>
      <c r="H543" s="54"/>
      <c r="J543" s="74"/>
      <c r="K543" s="74"/>
      <c r="L543" s="74"/>
      <c r="M543" s="74"/>
      <c r="N543" s="74"/>
    </row>
    <row r="544" spans="1:14" s="21" customFormat="1" ht="25.5" hidden="1">
      <c r="A544" s="7" t="s">
        <v>35</v>
      </c>
      <c r="B544" s="17"/>
      <c r="C544" s="17"/>
      <c r="D544" s="17"/>
      <c r="E544" s="17"/>
      <c r="F544" s="17" t="s">
        <v>190</v>
      </c>
      <c r="G544" s="54">
        <f>SUM(H544:H544)</f>
        <v>0</v>
      </c>
      <c r="H544" s="54"/>
      <c r="J544" s="74"/>
      <c r="K544" s="74"/>
      <c r="L544" s="74"/>
      <c r="M544" s="74"/>
      <c r="N544" s="74"/>
    </row>
    <row r="545" spans="1:14" s="21" customFormat="1" ht="51" hidden="1">
      <c r="A545" s="7" t="s">
        <v>36</v>
      </c>
      <c r="B545" s="17"/>
      <c r="C545" s="17"/>
      <c r="D545" s="17"/>
      <c r="E545" s="17"/>
      <c r="F545" s="17" t="s">
        <v>190</v>
      </c>
      <c r="G545" s="54">
        <f>SUM(H545:H545)</f>
        <v>0</v>
      </c>
      <c r="H545" s="54"/>
      <c r="J545" s="74"/>
      <c r="K545" s="74"/>
      <c r="L545" s="74"/>
      <c r="M545" s="74"/>
      <c r="N545" s="74"/>
    </row>
    <row r="546" spans="1:14" s="21" customFormat="1" ht="12.75" hidden="1">
      <c r="A546" s="16" t="s">
        <v>37</v>
      </c>
      <c r="B546" s="17" t="s">
        <v>207</v>
      </c>
      <c r="C546" s="17" t="s">
        <v>140</v>
      </c>
      <c r="D546" s="17" t="s">
        <v>69</v>
      </c>
      <c r="E546" s="17" t="s">
        <v>38</v>
      </c>
      <c r="F546" s="17"/>
      <c r="G546" s="54">
        <f>SUM(G547:G549)</f>
        <v>13.200000000000001</v>
      </c>
      <c r="H546" s="54">
        <f>SUM(H547:H549)</f>
        <v>13.200000000000001</v>
      </c>
      <c r="J546" s="74"/>
      <c r="K546" s="74"/>
      <c r="L546" s="74"/>
      <c r="M546" s="74"/>
      <c r="N546" s="74"/>
    </row>
    <row r="547" spans="1:14" s="21" customFormat="1" ht="38.25" hidden="1">
      <c r="A547" s="11" t="s">
        <v>39</v>
      </c>
      <c r="B547" s="20"/>
      <c r="C547" s="20"/>
      <c r="D547" s="20"/>
      <c r="E547" s="20"/>
      <c r="F547" s="20" t="s">
        <v>183</v>
      </c>
      <c r="G547" s="57">
        <f>SUM(H547:H547)</f>
        <v>3.9</v>
      </c>
      <c r="H547" s="57">
        <v>3.9</v>
      </c>
      <c r="J547" s="77"/>
      <c r="K547" s="77"/>
      <c r="L547" s="77"/>
      <c r="M547" s="77"/>
      <c r="N547" s="77"/>
    </row>
    <row r="548" spans="1:14" s="21" customFormat="1" ht="38.25" hidden="1">
      <c r="A548" s="19" t="s">
        <v>40</v>
      </c>
      <c r="B548" s="20"/>
      <c r="C548" s="20"/>
      <c r="D548" s="20"/>
      <c r="E548" s="20"/>
      <c r="F548" s="20" t="s">
        <v>222</v>
      </c>
      <c r="G548" s="57">
        <f>SUM(H548:H548)</f>
        <v>0</v>
      </c>
      <c r="H548" s="57"/>
      <c r="J548" s="77"/>
      <c r="K548" s="77"/>
      <c r="L548" s="77"/>
      <c r="M548" s="77"/>
      <c r="N548" s="77"/>
    </row>
    <row r="549" spans="1:14" s="21" customFormat="1" ht="25.5" hidden="1">
      <c r="A549" s="12" t="s">
        <v>41</v>
      </c>
      <c r="B549" s="20"/>
      <c r="C549" s="20"/>
      <c r="D549" s="20"/>
      <c r="E549" s="20"/>
      <c r="F549" s="20" t="s">
        <v>192</v>
      </c>
      <c r="G549" s="57">
        <f>SUM(H549:H549)</f>
        <v>9.3</v>
      </c>
      <c r="H549" s="57">
        <v>9.3</v>
      </c>
      <c r="J549" s="77"/>
      <c r="K549" s="77"/>
      <c r="L549" s="77"/>
      <c r="M549" s="77"/>
      <c r="N549" s="77"/>
    </row>
    <row r="550" spans="1:14" s="45" customFormat="1" ht="12.75" hidden="1">
      <c r="A550" s="43" t="s">
        <v>42</v>
      </c>
      <c r="B550" s="44" t="s">
        <v>207</v>
      </c>
      <c r="C550" s="44" t="s">
        <v>140</v>
      </c>
      <c r="D550" s="44" t="s">
        <v>69</v>
      </c>
      <c r="E550" s="44" t="s">
        <v>43</v>
      </c>
      <c r="F550" s="44"/>
      <c r="G550" s="61">
        <f>SUM(G551)</f>
        <v>0</v>
      </c>
      <c r="H550" s="61">
        <f>SUM(H551)</f>
        <v>0</v>
      </c>
      <c r="J550" s="93"/>
      <c r="K550" s="93"/>
      <c r="L550" s="93"/>
      <c r="M550" s="93"/>
      <c r="N550" s="93"/>
    </row>
    <row r="551" spans="1:14" s="21" customFormat="1" ht="10.5" customHeight="1" hidden="1">
      <c r="A551" s="16" t="s">
        <v>44</v>
      </c>
      <c r="B551" s="17" t="s">
        <v>207</v>
      </c>
      <c r="C551" s="17" t="s">
        <v>140</v>
      </c>
      <c r="D551" s="17" t="s">
        <v>69</v>
      </c>
      <c r="E551" s="17" t="s">
        <v>45</v>
      </c>
      <c r="F551" s="17"/>
      <c r="G551" s="54">
        <f>SUM(H551:H551)</f>
        <v>0</v>
      </c>
      <c r="H551" s="54">
        <f>SUM(H552)</f>
        <v>0</v>
      </c>
      <c r="J551" s="74"/>
      <c r="K551" s="74"/>
      <c r="L551" s="74"/>
      <c r="M551" s="74"/>
      <c r="N551" s="74"/>
    </row>
    <row r="552" spans="1:14" s="21" customFormat="1" ht="12.75" hidden="1">
      <c r="A552" s="6" t="s">
        <v>46</v>
      </c>
      <c r="B552" s="20"/>
      <c r="C552" s="20"/>
      <c r="D552" s="20"/>
      <c r="E552" s="20"/>
      <c r="F552" s="20"/>
      <c r="G552" s="58">
        <f>SUM(H552:H552)</f>
        <v>0</v>
      </c>
      <c r="H552" s="57"/>
      <c r="J552" s="76"/>
      <c r="K552" s="77"/>
      <c r="L552" s="77"/>
      <c r="M552" s="77"/>
      <c r="N552" s="77"/>
    </row>
    <row r="553" spans="1:14" s="45" customFormat="1" ht="12.75" hidden="1">
      <c r="A553" s="43" t="s">
        <v>47</v>
      </c>
      <c r="B553" s="44" t="s">
        <v>207</v>
      </c>
      <c r="C553" s="44" t="s">
        <v>140</v>
      </c>
      <c r="D553" s="44" t="s">
        <v>69</v>
      </c>
      <c r="E553" s="44" t="s">
        <v>48</v>
      </c>
      <c r="F553" s="44"/>
      <c r="G553" s="61">
        <f>SUM(H553:H553)</f>
        <v>0</v>
      </c>
      <c r="H553" s="61">
        <f>SUM(H554)</f>
        <v>0</v>
      </c>
      <c r="J553" s="93"/>
      <c r="K553" s="93"/>
      <c r="L553" s="93"/>
      <c r="M553" s="93"/>
      <c r="N553" s="93"/>
    </row>
    <row r="554" spans="1:14" s="21" customFormat="1" ht="26.25" customHeight="1" hidden="1">
      <c r="A554" s="12" t="s">
        <v>41</v>
      </c>
      <c r="B554" s="20"/>
      <c r="C554" s="20"/>
      <c r="D554" s="20"/>
      <c r="E554" s="20"/>
      <c r="F554" s="20"/>
      <c r="G554" s="57">
        <f>SUM(H554:H554)</f>
        <v>0</v>
      </c>
      <c r="H554" s="57"/>
      <c r="J554" s="77"/>
      <c r="K554" s="77"/>
      <c r="L554" s="77"/>
      <c r="M554" s="77"/>
      <c r="N554" s="77"/>
    </row>
    <row r="555" spans="1:14" s="45" customFormat="1" ht="12.75" hidden="1">
      <c r="A555" s="43" t="s">
        <v>49</v>
      </c>
      <c r="B555" s="44" t="s">
        <v>207</v>
      </c>
      <c r="C555" s="44" t="s">
        <v>140</v>
      </c>
      <c r="D555" s="44" t="s">
        <v>69</v>
      </c>
      <c r="E555" s="44" t="s">
        <v>50</v>
      </c>
      <c r="F555" s="44"/>
      <c r="G555" s="61">
        <f>SUM(G556,G560)</f>
        <v>2.5</v>
      </c>
      <c r="H555" s="61">
        <f>SUM(H556,H560)</f>
        <v>2.5</v>
      </c>
      <c r="J555" s="93"/>
      <c r="K555" s="93"/>
      <c r="L555" s="93"/>
      <c r="M555" s="93"/>
      <c r="N555" s="93"/>
    </row>
    <row r="556" spans="1:14" s="21" customFormat="1" ht="12.75" hidden="1">
      <c r="A556" s="16" t="s">
        <v>51</v>
      </c>
      <c r="B556" s="17" t="s">
        <v>207</v>
      </c>
      <c r="C556" s="17" t="s">
        <v>140</v>
      </c>
      <c r="D556" s="17" t="s">
        <v>69</v>
      </c>
      <c r="E556" s="17" t="s">
        <v>52</v>
      </c>
      <c r="F556" s="17"/>
      <c r="G556" s="54">
        <f>SUM(G557:G559)</f>
        <v>0</v>
      </c>
      <c r="H556" s="54">
        <f>SUM(H557:H559)</f>
        <v>0</v>
      </c>
      <c r="J556" s="74"/>
      <c r="K556" s="74"/>
      <c r="L556" s="74"/>
      <c r="M556" s="74"/>
      <c r="N556" s="74"/>
    </row>
    <row r="557" spans="1:14" s="21" customFormat="1" ht="12.75" hidden="1">
      <c r="A557" s="7" t="s">
        <v>53</v>
      </c>
      <c r="B557" s="20"/>
      <c r="C557" s="20"/>
      <c r="D557" s="20"/>
      <c r="E557" s="20"/>
      <c r="F557" s="20" t="s">
        <v>223</v>
      </c>
      <c r="G557" s="57">
        <f>SUM(H557:H557)</f>
        <v>0</v>
      </c>
      <c r="H557" s="57"/>
      <c r="J557" s="77"/>
      <c r="K557" s="77"/>
      <c r="L557" s="77"/>
      <c r="M557" s="77"/>
      <c r="N557" s="77"/>
    </row>
    <row r="558" spans="1:14" s="21" customFormat="1" ht="51" hidden="1">
      <c r="A558" s="7" t="s">
        <v>54</v>
      </c>
      <c r="B558" s="20"/>
      <c r="C558" s="20"/>
      <c r="D558" s="20"/>
      <c r="E558" s="20"/>
      <c r="F558" s="20" t="s">
        <v>194</v>
      </c>
      <c r="G558" s="57">
        <f>SUM(H558:H558)</f>
        <v>0</v>
      </c>
      <c r="H558" s="57"/>
      <c r="J558" s="77"/>
      <c r="K558" s="77"/>
      <c r="L558" s="77"/>
      <c r="M558" s="77"/>
      <c r="N558" s="77"/>
    </row>
    <row r="559" spans="1:14" s="21" customFormat="1" ht="52.5" customHeight="1" hidden="1">
      <c r="A559" s="7" t="s">
        <v>55</v>
      </c>
      <c r="B559" s="20"/>
      <c r="C559" s="20"/>
      <c r="D559" s="20"/>
      <c r="E559" s="20"/>
      <c r="F559" s="20" t="s">
        <v>193</v>
      </c>
      <c r="G559" s="57">
        <f>SUM(H559:H559)</f>
        <v>0</v>
      </c>
      <c r="H559" s="57"/>
      <c r="J559" s="77"/>
      <c r="K559" s="77"/>
      <c r="L559" s="77"/>
      <c r="M559" s="77"/>
      <c r="N559" s="77"/>
    </row>
    <row r="560" spans="1:14" s="21" customFormat="1" ht="17.25" customHeight="1" hidden="1">
      <c r="A560" s="16" t="s">
        <v>56</v>
      </c>
      <c r="B560" s="17" t="s">
        <v>207</v>
      </c>
      <c r="C560" s="17" t="s">
        <v>140</v>
      </c>
      <c r="D560" s="17" t="s">
        <v>69</v>
      </c>
      <c r="E560" s="17" t="s">
        <v>57</v>
      </c>
      <c r="F560" s="17"/>
      <c r="G560" s="54">
        <f>SUM(G561:G564)</f>
        <v>2.5</v>
      </c>
      <c r="H560" s="54">
        <f>SUM(H561:H564)</f>
        <v>2.5</v>
      </c>
      <c r="J560" s="74"/>
      <c r="K560" s="74"/>
      <c r="L560" s="74"/>
      <c r="M560" s="74"/>
      <c r="N560" s="74"/>
    </row>
    <row r="561" spans="1:14" s="21" customFormat="1" ht="25.5" hidden="1">
      <c r="A561" s="7" t="s">
        <v>58</v>
      </c>
      <c r="B561" s="20"/>
      <c r="C561" s="20"/>
      <c r="D561" s="20"/>
      <c r="E561" s="20"/>
      <c r="F561" s="20" t="s">
        <v>195</v>
      </c>
      <c r="G561" s="57">
        <f>SUM(H561:H561)</f>
        <v>2.5</v>
      </c>
      <c r="H561" s="57">
        <v>2.5</v>
      </c>
      <c r="J561" s="77"/>
      <c r="K561" s="77"/>
      <c r="L561" s="77"/>
      <c r="M561" s="77"/>
      <c r="N561" s="77"/>
    </row>
    <row r="562" spans="1:14" s="21" customFormat="1" ht="12.75" hidden="1">
      <c r="A562" s="7" t="s">
        <v>59</v>
      </c>
      <c r="B562" s="20"/>
      <c r="C562" s="20"/>
      <c r="D562" s="20"/>
      <c r="E562" s="20"/>
      <c r="F562" s="20" t="s">
        <v>196</v>
      </c>
      <c r="G562" s="57">
        <f>SUM(H562:H562)</f>
        <v>0</v>
      </c>
      <c r="H562" s="57"/>
      <c r="J562" s="77"/>
      <c r="K562" s="77"/>
      <c r="L562" s="77"/>
      <c r="M562" s="77"/>
      <c r="N562" s="77"/>
    </row>
    <row r="563" spans="1:14" s="21" customFormat="1" ht="12.75" hidden="1">
      <c r="A563" s="7" t="s">
        <v>60</v>
      </c>
      <c r="B563" s="20"/>
      <c r="C563" s="20"/>
      <c r="D563" s="20"/>
      <c r="E563" s="20"/>
      <c r="F563" s="20" t="s">
        <v>197</v>
      </c>
      <c r="G563" s="57">
        <f>SUM(H563:H563)</f>
        <v>0</v>
      </c>
      <c r="H563" s="57"/>
      <c r="J563" s="77"/>
      <c r="K563" s="77"/>
      <c r="L563" s="77"/>
      <c r="M563" s="77"/>
      <c r="N563" s="77"/>
    </row>
    <row r="564" spans="1:14" s="21" customFormat="1" ht="26.25" customHeight="1" hidden="1">
      <c r="A564" s="7" t="s">
        <v>61</v>
      </c>
      <c r="B564" s="20"/>
      <c r="C564" s="20"/>
      <c r="D564" s="20"/>
      <c r="E564" s="20"/>
      <c r="F564" s="20" t="s">
        <v>198</v>
      </c>
      <c r="G564" s="57">
        <f>SUM(H564:H564)</f>
        <v>0</v>
      </c>
      <c r="H564" s="57"/>
      <c r="J564" s="77"/>
      <c r="K564" s="77"/>
      <c r="L564" s="77"/>
      <c r="M564" s="77"/>
      <c r="N564" s="77"/>
    </row>
    <row r="565" spans="1:10" s="21" customFormat="1" ht="12.75" hidden="1">
      <c r="A565" s="7"/>
      <c r="B565" s="20"/>
      <c r="C565" s="20"/>
      <c r="D565" s="20"/>
      <c r="E565" s="20"/>
      <c r="F565" s="20"/>
      <c r="G565" s="57"/>
      <c r="H565" s="57"/>
      <c r="J565" s="137"/>
    </row>
    <row r="566" spans="1:10" s="21" customFormat="1" ht="12.75" hidden="1">
      <c r="A566" s="26" t="s">
        <v>74</v>
      </c>
      <c r="B566" s="24" t="s">
        <v>159</v>
      </c>
      <c r="C566" s="24" t="s">
        <v>88</v>
      </c>
      <c r="D566" s="24" t="s">
        <v>2</v>
      </c>
      <c r="E566" s="24"/>
      <c r="F566" s="24"/>
      <c r="G566" s="62"/>
      <c r="H566" s="62"/>
      <c r="J566" s="137"/>
    </row>
    <row r="567" spans="1:10" s="46" customFormat="1" ht="46.5" customHeight="1" hidden="1">
      <c r="A567" s="26" t="s">
        <v>124</v>
      </c>
      <c r="B567" s="24" t="s">
        <v>159</v>
      </c>
      <c r="C567" s="24" t="s">
        <v>125</v>
      </c>
      <c r="D567" s="24" t="s">
        <v>69</v>
      </c>
      <c r="E567" s="24"/>
      <c r="F567" s="24"/>
      <c r="G567" s="63">
        <f>SUM(H567:H567)</f>
        <v>891.1</v>
      </c>
      <c r="H567" s="63">
        <f>SUM(H568,H576,H596,H599,H601)</f>
        <v>891.1</v>
      </c>
      <c r="J567" s="143"/>
    </row>
    <row r="568" spans="1:10" s="21" customFormat="1" ht="14.25" customHeight="1" hidden="1">
      <c r="A568" s="10" t="s">
        <v>4</v>
      </c>
      <c r="B568" s="14" t="s">
        <v>208</v>
      </c>
      <c r="C568" s="14" t="s">
        <v>125</v>
      </c>
      <c r="D568" s="14" t="s">
        <v>69</v>
      </c>
      <c r="E568" s="14" t="s">
        <v>5</v>
      </c>
      <c r="F568" s="14"/>
      <c r="G568" s="53">
        <f>SUM(G569,G570,G575)</f>
        <v>679.7</v>
      </c>
      <c r="H568" s="53">
        <f>SUM(H569,H570,H575)</f>
        <v>679.7</v>
      </c>
      <c r="J568" s="137"/>
    </row>
    <row r="569" spans="1:10" s="21" customFormat="1" ht="12.75" hidden="1">
      <c r="A569" s="16" t="s">
        <v>6</v>
      </c>
      <c r="B569" s="17" t="s">
        <v>159</v>
      </c>
      <c r="C569" s="17" t="s">
        <v>125</v>
      </c>
      <c r="D569" s="17" t="s">
        <v>69</v>
      </c>
      <c r="E569" s="17" t="s">
        <v>7</v>
      </c>
      <c r="F569" s="17"/>
      <c r="G569" s="54">
        <f>SUM(H569:H569)</f>
        <v>490.9</v>
      </c>
      <c r="H569" s="54">
        <v>490.9</v>
      </c>
      <c r="J569" s="137"/>
    </row>
    <row r="570" spans="1:10" s="21" customFormat="1" ht="12.75" hidden="1">
      <c r="A570" s="16" t="s">
        <v>8</v>
      </c>
      <c r="B570" s="17" t="s">
        <v>159</v>
      </c>
      <c r="C570" s="17" t="s">
        <v>125</v>
      </c>
      <c r="D570" s="17" t="s">
        <v>69</v>
      </c>
      <c r="E570" s="17" t="s">
        <v>9</v>
      </c>
      <c r="F570" s="17"/>
      <c r="G570" s="54">
        <f>SUM(G571:G574)</f>
        <v>60.2</v>
      </c>
      <c r="H570" s="54">
        <f>SUM(H571:H574)</f>
        <v>60.2</v>
      </c>
      <c r="J570" s="137"/>
    </row>
    <row r="571" spans="1:10" s="21" customFormat="1" ht="25.5" hidden="1">
      <c r="A571" s="11" t="s">
        <v>10</v>
      </c>
      <c r="B571" s="4"/>
      <c r="C571" s="4"/>
      <c r="D571" s="4"/>
      <c r="E571" s="4"/>
      <c r="F571" s="4" t="s">
        <v>183</v>
      </c>
      <c r="G571" s="55">
        <f aca="true" t="shared" si="6" ref="G571:G577">SUM(H571:H571)</f>
        <v>0.6</v>
      </c>
      <c r="H571" s="55">
        <v>0.6</v>
      </c>
      <c r="J571" s="137"/>
    </row>
    <row r="572" spans="1:10" s="21" customFormat="1" ht="15" customHeight="1" hidden="1">
      <c r="A572" s="12" t="s">
        <v>11</v>
      </c>
      <c r="B572" s="4"/>
      <c r="C572" s="4"/>
      <c r="D572" s="4"/>
      <c r="E572" s="4"/>
      <c r="F572" s="4" t="s">
        <v>200</v>
      </c>
      <c r="G572" s="55">
        <f t="shared" si="6"/>
        <v>2</v>
      </c>
      <c r="H572" s="55">
        <v>2</v>
      </c>
      <c r="J572" s="137"/>
    </row>
    <row r="573" spans="1:10" s="30" customFormat="1" ht="12.75" hidden="1">
      <c r="A573" s="65" t="s">
        <v>130</v>
      </c>
      <c r="B573" s="29"/>
      <c r="C573" s="29"/>
      <c r="D573" s="29"/>
      <c r="E573" s="29"/>
      <c r="F573" s="29" t="s">
        <v>199</v>
      </c>
      <c r="G573" s="58">
        <f t="shared" si="6"/>
        <v>0.6</v>
      </c>
      <c r="H573" s="58">
        <v>0.6</v>
      </c>
      <c r="J573" s="135"/>
    </row>
    <row r="574" spans="1:10" s="21" customFormat="1" ht="25.5" hidden="1">
      <c r="A574" s="6" t="s">
        <v>12</v>
      </c>
      <c r="B574" s="4"/>
      <c r="C574" s="4"/>
      <c r="D574" s="4"/>
      <c r="E574" s="4"/>
      <c r="F574" s="4" t="s">
        <v>184</v>
      </c>
      <c r="G574" s="55">
        <f t="shared" si="6"/>
        <v>57</v>
      </c>
      <c r="H574" s="55">
        <v>57</v>
      </c>
      <c r="J574" s="137"/>
    </row>
    <row r="575" spans="1:10" s="21" customFormat="1" ht="12.75" hidden="1">
      <c r="A575" s="16" t="s">
        <v>13</v>
      </c>
      <c r="B575" s="17" t="s">
        <v>159</v>
      </c>
      <c r="C575" s="17" t="s">
        <v>125</v>
      </c>
      <c r="D575" s="17" t="s">
        <v>69</v>
      </c>
      <c r="E575" s="17" t="s">
        <v>14</v>
      </c>
      <c r="F575" s="17"/>
      <c r="G575" s="56">
        <f t="shared" si="6"/>
        <v>128.6</v>
      </c>
      <c r="H575" s="54">
        <v>128.6</v>
      </c>
      <c r="J575" s="137"/>
    </row>
    <row r="576" spans="1:10" s="45" customFormat="1" ht="12.75" hidden="1">
      <c r="A576" s="43" t="s">
        <v>15</v>
      </c>
      <c r="B576" s="44" t="s">
        <v>159</v>
      </c>
      <c r="C576" s="14" t="s">
        <v>125</v>
      </c>
      <c r="D576" s="44" t="s">
        <v>69</v>
      </c>
      <c r="E576" s="44" t="s">
        <v>16</v>
      </c>
      <c r="F576" s="44"/>
      <c r="G576" s="61">
        <f t="shared" si="6"/>
        <v>201.4</v>
      </c>
      <c r="H576" s="61">
        <f>SUM(H577:H578,H581,H585,H586,H592,)</f>
        <v>201.4</v>
      </c>
      <c r="J576" s="133"/>
    </row>
    <row r="577" spans="1:10" s="21" customFormat="1" ht="12.75" hidden="1">
      <c r="A577" s="16" t="s">
        <v>17</v>
      </c>
      <c r="B577" s="17" t="s">
        <v>159</v>
      </c>
      <c r="C577" s="17" t="s">
        <v>125</v>
      </c>
      <c r="D577" s="17" t="s">
        <v>69</v>
      </c>
      <c r="E577" s="17" t="s">
        <v>18</v>
      </c>
      <c r="F577" s="17"/>
      <c r="G577" s="54">
        <f t="shared" si="6"/>
        <v>33</v>
      </c>
      <c r="H577" s="54">
        <v>33</v>
      </c>
      <c r="J577" s="137"/>
    </row>
    <row r="578" spans="1:10" s="21" customFormat="1" ht="12.75" hidden="1">
      <c r="A578" s="16" t="s">
        <v>21</v>
      </c>
      <c r="B578" s="17" t="s">
        <v>159</v>
      </c>
      <c r="C578" s="17" t="s">
        <v>125</v>
      </c>
      <c r="D578" s="17" t="s">
        <v>69</v>
      </c>
      <c r="E578" s="17" t="s">
        <v>19</v>
      </c>
      <c r="F578" s="17"/>
      <c r="G578" s="54">
        <f>SUM(G579:G580)</f>
        <v>11.2</v>
      </c>
      <c r="H578" s="54">
        <f>SUM(H579:H580)</f>
        <v>11.2</v>
      </c>
      <c r="J578" s="137"/>
    </row>
    <row r="579" spans="1:10" s="21" customFormat="1" ht="25.5" hidden="1">
      <c r="A579" s="11" t="s">
        <v>20</v>
      </c>
      <c r="B579" s="4"/>
      <c r="C579" s="4"/>
      <c r="D579" s="4"/>
      <c r="E579" s="4"/>
      <c r="F579" s="4" t="s">
        <v>183</v>
      </c>
      <c r="G579" s="55">
        <f>SUM(H579:H579)</f>
        <v>11.2</v>
      </c>
      <c r="H579" s="55">
        <v>11.2</v>
      </c>
      <c r="J579" s="137"/>
    </row>
    <row r="580" spans="1:10" s="21" customFormat="1" ht="38.25" hidden="1">
      <c r="A580" s="8" t="s">
        <v>22</v>
      </c>
      <c r="B580" s="4"/>
      <c r="C580" s="4"/>
      <c r="D580" s="4"/>
      <c r="E580" s="4"/>
      <c r="F580" s="4" t="s">
        <v>185</v>
      </c>
      <c r="G580" s="55">
        <f>SUM(H580:H580)</f>
        <v>0</v>
      </c>
      <c r="H580" s="55"/>
      <c r="J580" s="137"/>
    </row>
    <row r="581" spans="1:10" s="21" customFormat="1" ht="12.75" hidden="1">
      <c r="A581" s="16" t="s">
        <v>23</v>
      </c>
      <c r="B581" s="17" t="s">
        <v>159</v>
      </c>
      <c r="C581" s="17" t="s">
        <v>125</v>
      </c>
      <c r="D581" s="17" t="s">
        <v>69</v>
      </c>
      <c r="E581" s="17" t="s">
        <v>24</v>
      </c>
      <c r="F581" s="17"/>
      <c r="G581" s="54">
        <f>SUM(G582:G584)</f>
        <v>0</v>
      </c>
      <c r="H581" s="54">
        <f>SUM(H582:H584)</f>
        <v>0</v>
      </c>
      <c r="J581" s="137"/>
    </row>
    <row r="582" spans="1:10" s="21" customFormat="1" ht="17.25" customHeight="1" hidden="1">
      <c r="A582" s="7" t="s">
        <v>25</v>
      </c>
      <c r="B582" s="4"/>
      <c r="C582" s="4"/>
      <c r="D582" s="4"/>
      <c r="E582" s="4"/>
      <c r="F582" s="4" t="s">
        <v>186</v>
      </c>
      <c r="G582" s="55">
        <f>SUM(H582:H582)</f>
        <v>0</v>
      </c>
      <c r="H582" s="55"/>
      <c r="J582" s="137"/>
    </row>
    <row r="583" spans="1:10" s="21" customFormat="1" ht="26.25" customHeight="1" hidden="1">
      <c r="A583" s="7" t="s">
        <v>26</v>
      </c>
      <c r="B583" s="4"/>
      <c r="C583" s="4"/>
      <c r="D583" s="4"/>
      <c r="E583" s="4"/>
      <c r="F583" s="4" t="s">
        <v>187</v>
      </c>
      <c r="G583" s="55">
        <f>SUM(H583:H583)</f>
        <v>0</v>
      </c>
      <c r="H583" s="55"/>
      <c r="J583" s="137"/>
    </row>
    <row r="584" spans="1:10" s="21" customFormat="1" ht="12.75" hidden="1">
      <c r="A584" s="7" t="s">
        <v>27</v>
      </c>
      <c r="B584" s="4"/>
      <c r="C584" s="4"/>
      <c r="D584" s="4"/>
      <c r="E584" s="4"/>
      <c r="F584" s="4" t="s">
        <v>188</v>
      </c>
      <c r="G584" s="55">
        <f>SUM(H584:H584)</f>
        <v>0</v>
      </c>
      <c r="H584" s="55"/>
      <c r="J584" s="137"/>
    </row>
    <row r="585" spans="1:10" s="21" customFormat="1" ht="16.5" customHeight="1" hidden="1">
      <c r="A585" s="16" t="s">
        <v>28</v>
      </c>
      <c r="B585" s="17" t="s">
        <v>159</v>
      </c>
      <c r="C585" s="17" t="s">
        <v>125</v>
      </c>
      <c r="D585" s="17" t="s">
        <v>69</v>
      </c>
      <c r="E585" s="17" t="s">
        <v>29</v>
      </c>
      <c r="F585" s="17"/>
      <c r="G585" s="55">
        <f>SUM(H585:H585)</f>
        <v>0</v>
      </c>
      <c r="H585" s="54"/>
      <c r="J585" s="137"/>
    </row>
    <row r="586" spans="1:10" s="21" customFormat="1" ht="12.75" hidden="1">
      <c r="A586" s="16" t="s">
        <v>30</v>
      </c>
      <c r="B586" s="17" t="s">
        <v>159</v>
      </c>
      <c r="C586" s="17" t="s">
        <v>125</v>
      </c>
      <c r="D586" s="17" t="s">
        <v>69</v>
      </c>
      <c r="E586" s="17" t="s">
        <v>31</v>
      </c>
      <c r="F586" s="17"/>
      <c r="G586" s="54">
        <f>SUM(G587:G591)</f>
        <v>43</v>
      </c>
      <c r="H586" s="54">
        <f>SUM(H587:H591)</f>
        <v>43</v>
      </c>
      <c r="J586" s="137"/>
    </row>
    <row r="587" spans="1:10" s="21" customFormat="1" ht="12.75" hidden="1">
      <c r="A587" s="7" t="s">
        <v>32</v>
      </c>
      <c r="B587" s="17"/>
      <c r="C587" s="17"/>
      <c r="D587" s="17"/>
      <c r="E587" s="17"/>
      <c r="F587" s="17" t="s">
        <v>189</v>
      </c>
      <c r="G587" s="54">
        <f>SUM(H587:H587)</f>
        <v>0</v>
      </c>
      <c r="H587" s="54"/>
      <c r="J587" s="137"/>
    </row>
    <row r="588" spans="1:10" s="21" customFormat="1" ht="12.75" hidden="1">
      <c r="A588" s="7" t="s">
        <v>33</v>
      </c>
      <c r="B588" s="17"/>
      <c r="C588" s="17"/>
      <c r="D588" s="17"/>
      <c r="E588" s="17"/>
      <c r="F588" s="17" t="s">
        <v>191</v>
      </c>
      <c r="G588" s="54">
        <f>SUM(H588:H588)</f>
        <v>0</v>
      </c>
      <c r="H588" s="54"/>
      <c r="J588" s="137"/>
    </row>
    <row r="589" spans="1:10" s="21" customFormat="1" ht="25.5" hidden="1">
      <c r="A589" s="7" t="s">
        <v>34</v>
      </c>
      <c r="B589" s="17"/>
      <c r="C589" s="17"/>
      <c r="D589" s="17"/>
      <c r="E589" s="17"/>
      <c r="F589" s="17" t="s">
        <v>221</v>
      </c>
      <c r="G589" s="54">
        <f>SUM(H589:H589)</f>
        <v>43</v>
      </c>
      <c r="H589" s="54">
        <v>43</v>
      </c>
      <c r="J589" s="137"/>
    </row>
    <row r="590" spans="1:10" s="21" customFormat="1" ht="25.5" hidden="1">
      <c r="A590" s="7" t="s">
        <v>35</v>
      </c>
      <c r="B590" s="17"/>
      <c r="C590" s="17"/>
      <c r="D590" s="17"/>
      <c r="E590" s="17"/>
      <c r="F590" s="17" t="s">
        <v>190</v>
      </c>
      <c r="G590" s="54">
        <f>SUM(H590:H590)</f>
        <v>0</v>
      </c>
      <c r="H590" s="54"/>
      <c r="J590" s="137"/>
    </row>
    <row r="591" spans="1:10" s="21" customFormat="1" ht="51" hidden="1">
      <c r="A591" s="7" t="s">
        <v>36</v>
      </c>
      <c r="B591" s="17"/>
      <c r="C591" s="17"/>
      <c r="D591" s="17"/>
      <c r="E591" s="17"/>
      <c r="F591" s="17" t="s">
        <v>190</v>
      </c>
      <c r="G591" s="54">
        <f>SUM(H591:H591)</f>
        <v>0</v>
      </c>
      <c r="H591" s="54"/>
      <c r="J591" s="137"/>
    </row>
    <row r="592" spans="1:10" s="21" customFormat="1" ht="12.75" hidden="1">
      <c r="A592" s="16" t="s">
        <v>37</v>
      </c>
      <c r="B592" s="17" t="s">
        <v>159</v>
      </c>
      <c r="C592" s="17" t="s">
        <v>125</v>
      </c>
      <c r="D592" s="17" t="s">
        <v>69</v>
      </c>
      <c r="E592" s="17" t="s">
        <v>38</v>
      </c>
      <c r="F592" s="17"/>
      <c r="G592" s="54">
        <f>SUM(G593:G595)</f>
        <v>114.2</v>
      </c>
      <c r="H592" s="54">
        <f>SUM(H593:H595)</f>
        <v>114.2</v>
      </c>
      <c r="J592" s="137"/>
    </row>
    <row r="593" spans="1:10" s="21" customFormat="1" ht="38.25" hidden="1">
      <c r="A593" s="11" t="s">
        <v>39</v>
      </c>
      <c r="B593" s="20"/>
      <c r="C593" s="20"/>
      <c r="D593" s="20"/>
      <c r="E593" s="20"/>
      <c r="F593" s="20" t="s">
        <v>183</v>
      </c>
      <c r="G593" s="57">
        <f>SUM(H593:H593)</f>
        <v>4.2</v>
      </c>
      <c r="H593" s="57">
        <v>4.2</v>
      </c>
      <c r="J593" s="137"/>
    </row>
    <row r="594" spans="1:10" s="21" customFormat="1" ht="33.75" customHeight="1" hidden="1">
      <c r="A594" s="19" t="s">
        <v>40</v>
      </c>
      <c r="B594" s="20"/>
      <c r="C594" s="20"/>
      <c r="D594" s="20"/>
      <c r="E594" s="20"/>
      <c r="F594" s="20" t="s">
        <v>222</v>
      </c>
      <c r="G594" s="57">
        <f>SUM(H594:H594)</f>
        <v>0</v>
      </c>
      <c r="H594" s="57"/>
      <c r="J594" s="137"/>
    </row>
    <row r="595" spans="1:10" s="21" customFormat="1" ht="25.5" hidden="1">
      <c r="A595" s="12" t="s">
        <v>41</v>
      </c>
      <c r="B595" s="20"/>
      <c r="C595" s="20"/>
      <c r="D595" s="20"/>
      <c r="E595" s="20"/>
      <c r="F595" s="20" t="s">
        <v>192</v>
      </c>
      <c r="G595" s="57">
        <f>SUM(H595:H595)</f>
        <v>110</v>
      </c>
      <c r="H595" s="57">
        <v>110</v>
      </c>
      <c r="J595" s="137"/>
    </row>
    <row r="596" spans="1:10" s="45" customFormat="1" ht="12.75" hidden="1">
      <c r="A596" s="43" t="s">
        <v>42</v>
      </c>
      <c r="B596" s="44" t="s">
        <v>159</v>
      </c>
      <c r="C596" s="14" t="s">
        <v>125</v>
      </c>
      <c r="D596" s="44" t="s">
        <v>69</v>
      </c>
      <c r="E596" s="44" t="s">
        <v>43</v>
      </c>
      <c r="F596" s="44"/>
      <c r="G596" s="61">
        <f>SUM(G597)</f>
        <v>0</v>
      </c>
      <c r="H596" s="61">
        <f>SUM(H597)</f>
        <v>0</v>
      </c>
      <c r="J596" s="133"/>
    </row>
    <row r="597" spans="1:10" s="21" customFormat="1" ht="12.75" hidden="1">
      <c r="A597" s="16" t="s">
        <v>44</v>
      </c>
      <c r="B597" s="17" t="s">
        <v>159</v>
      </c>
      <c r="C597" s="17" t="s">
        <v>125</v>
      </c>
      <c r="D597" s="17" t="s">
        <v>69</v>
      </c>
      <c r="E597" s="17" t="s">
        <v>45</v>
      </c>
      <c r="F597" s="17"/>
      <c r="G597" s="54">
        <f>SUM(H597:H597)</f>
        <v>0</v>
      </c>
      <c r="H597" s="54">
        <f>SUM(H598)</f>
        <v>0</v>
      </c>
      <c r="J597" s="137"/>
    </row>
    <row r="598" spans="1:10" s="21" customFormat="1" ht="12.75" hidden="1">
      <c r="A598" s="6" t="s">
        <v>46</v>
      </c>
      <c r="B598" s="20"/>
      <c r="C598" s="20"/>
      <c r="D598" s="20"/>
      <c r="E598" s="20"/>
      <c r="F598" s="20"/>
      <c r="G598" s="58">
        <f>SUM(H598:H598)</f>
        <v>0</v>
      </c>
      <c r="H598" s="57"/>
      <c r="J598" s="137"/>
    </row>
    <row r="599" spans="1:10" s="45" customFormat="1" ht="12.75" hidden="1">
      <c r="A599" s="43" t="s">
        <v>47</v>
      </c>
      <c r="B599" s="44" t="s">
        <v>159</v>
      </c>
      <c r="C599" s="14" t="s">
        <v>125</v>
      </c>
      <c r="D599" s="44" t="s">
        <v>69</v>
      </c>
      <c r="E599" s="44" t="s">
        <v>48</v>
      </c>
      <c r="F599" s="44"/>
      <c r="G599" s="61">
        <f>SUM(H599:H599)</f>
        <v>5</v>
      </c>
      <c r="H599" s="61">
        <f>SUM(H600)</f>
        <v>5</v>
      </c>
      <c r="J599" s="133"/>
    </row>
    <row r="600" spans="1:10" s="21" customFormat="1" ht="25.5" hidden="1">
      <c r="A600" s="12" t="s">
        <v>41</v>
      </c>
      <c r="B600" s="20"/>
      <c r="C600" s="20"/>
      <c r="D600" s="20"/>
      <c r="E600" s="20"/>
      <c r="F600" s="20"/>
      <c r="G600" s="57">
        <f>SUM(H600:H600)</f>
        <v>5</v>
      </c>
      <c r="H600" s="57">
        <v>5</v>
      </c>
      <c r="J600" s="137"/>
    </row>
    <row r="601" spans="1:10" s="45" customFormat="1" ht="12.75" hidden="1">
      <c r="A601" s="43" t="s">
        <v>49</v>
      </c>
      <c r="B601" s="44" t="s">
        <v>159</v>
      </c>
      <c r="C601" s="14" t="s">
        <v>125</v>
      </c>
      <c r="D601" s="44" t="s">
        <v>69</v>
      </c>
      <c r="E601" s="44" t="s">
        <v>50</v>
      </c>
      <c r="F601" s="44"/>
      <c r="G601" s="61">
        <f>SUM(G602,G606)</f>
        <v>5</v>
      </c>
      <c r="H601" s="61">
        <f>SUM(H602,H606)</f>
        <v>5</v>
      </c>
      <c r="J601" s="133"/>
    </row>
    <row r="602" spans="1:10" s="21" customFormat="1" ht="12.75" hidden="1">
      <c r="A602" s="16" t="s">
        <v>51</v>
      </c>
      <c r="B602" s="17" t="s">
        <v>159</v>
      </c>
      <c r="C602" s="17" t="s">
        <v>125</v>
      </c>
      <c r="D602" s="17" t="s">
        <v>69</v>
      </c>
      <c r="E602" s="17" t="s">
        <v>52</v>
      </c>
      <c r="F602" s="17"/>
      <c r="G602" s="54">
        <f>SUM(G603:G605)</f>
        <v>0</v>
      </c>
      <c r="H602" s="54">
        <f>SUM(H603:H605)</f>
        <v>0</v>
      </c>
      <c r="J602" s="137"/>
    </row>
    <row r="603" spans="1:10" s="21" customFormat="1" ht="12.75" hidden="1">
      <c r="A603" s="7" t="s">
        <v>53</v>
      </c>
      <c r="B603" s="20"/>
      <c r="C603" s="20"/>
      <c r="D603" s="20"/>
      <c r="E603" s="20"/>
      <c r="F603" s="20" t="s">
        <v>223</v>
      </c>
      <c r="G603" s="57">
        <f>SUM(H603:H603)</f>
        <v>0</v>
      </c>
      <c r="H603" s="57"/>
      <c r="J603" s="137"/>
    </row>
    <row r="604" spans="1:10" s="21" customFormat="1" ht="52.5" customHeight="1" hidden="1">
      <c r="A604" s="7" t="s">
        <v>54</v>
      </c>
      <c r="B604" s="20"/>
      <c r="C604" s="20"/>
      <c r="D604" s="20"/>
      <c r="E604" s="20"/>
      <c r="F604" s="20" t="s">
        <v>194</v>
      </c>
      <c r="G604" s="57">
        <f>SUM(H604:H604)</f>
        <v>0</v>
      </c>
      <c r="H604" s="57"/>
      <c r="J604" s="137"/>
    </row>
    <row r="605" spans="1:10" s="21" customFormat="1" ht="51" customHeight="1" hidden="1">
      <c r="A605" s="7" t="s">
        <v>55</v>
      </c>
      <c r="B605" s="20"/>
      <c r="C605" s="20"/>
      <c r="D605" s="20"/>
      <c r="E605" s="20"/>
      <c r="F605" s="20" t="s">
        <v>193</v>
      </c>
      <c r="G605" s="57">
        <f>SUM(H605:H605)</f>
        <v>0</v>
      </c>
      <c r="H605" s="57"/>
      <c r="J605" s="137"/>
    </row>
    <row r="606" spans="1:10" s="21" customFormat="1" ht="15.75" customHeight="1" hidden="1">
      <c r="A606" s="16" t="s">
        <v>56</v>
      </c>
      <c r="B606" s="17" t="s">
        <v>159</v>
      </c>
      <c r="C606" s="17" t="s">
        <v>125</v>
      </c>
      <c r="D606" s="17" t="s">
        <v>69</v>
      </c>
      <c r="E606" s="17" t="s">
        <v>57</v>
      </c>
      <c r="F606" s="17"/>
      <c r="G606" s="54">
        <f>SUM(G607:G610)</f>
        <v>5</v>
      </c>
      <c r="H606" s="54">
        <f>SUM(H607:H610)</f>
        <v>5</v>
      </c>
      <c r="J606" s="137"/>
    </row>
    <row r="607" spans="1:10" s="21" customFormat="1" ht="25.5" hidden="1">
      <c r="A607" s="7" t="s">
        <v>58</v>
      </c>
      <c r="B607" s="20"/>
      <c r="C607" s="20"/>
      <c r="D607" s="20"/>
      <c r="E607" s="20"/>
      <c r="F607" s="20" t="s">
        <v>195</v>
      </c>
      <c r="G607" s="57">
        <f>SUM(H607:H607)</f>
        <v>0</v>
      </c>
      <c r="H607" s="57"/>
      <c r="J607" s="137"/>
    </row>
    <row r="608" spans="1:10" s="21" customFormat="1" ht="12.75" hidden="1">
      <c r="A608" s="7" t="s">
        <v>59</v>
      </c>
      <c r="B608" s="20"/>
      <c r="C608" s="20"/>
      <c r="D608" s="20"/>
      <c r="E608" s="20"/>
      <c r="F608" s="20" t="s">
        <v>196</v>
      </c>
      <c r="G608" s="57">
        <f>SUM(H608:H608)</f>
        <v>0</v>
      </c>
      <c r="H608" s="57"/>
      <c r="J608" s="137"/>
    </row>
    <row r="609" spans="1:10" s="21" customFormat="1" ht="9.75" customHeight="1" hidden="1">
      <c r="A609" s="7" t="s">
        <v>60</v>
      </c>
      <c r="B609" s="20"/>
      <c r="C609" s="20"/>
      <c r="D609" s="20"/>
      <c r="E609" s="20"/>
      <c r="F609" s="20" t="s">
        <v>197</v>
      </c>
      <c r="G609" s="57">
        <f>SUM(H609:H609)</f>
        <v>0</v>
      </c>
      <c r="H609" s="57"/>
      <c r="J609" s="137"/>
    </row>
    <row r="610" spans="1:10" s="21" customFormat="1" ht="39" customHeight="1" hidden="1">
      <c r="A610" s="7" t="s">
        <v>61</v>
      </c>
      <c r="B610" s="20"/>
      <c r="C610" s="20"/>
      <c r="D610" s="20"/>
      <c r="E610" s="20"/>
      <c r="F610" s="20" t="s">
        <v>198</v>
      </c>
      <c r="G610" s="57">
        <f>SUM(H610:H610)</f>
        <v>5</v>
      </c>
      <c r="H610" s="57">
        <v>5</v>
      </c>
      <c r="J610" s="137"/>
    </row>
    <row r="611" spans="1:10" s="21" customFormat="1" ht="12.75" hidden="1">
      <c r="A611" s="7"/>
      <c r="B611" s="20"/>
      <c r="C611" s="20"/>
      <c r="D611" s="20"/>
      <c r="E611" s="20"/>
      <c r="F611" s="20"/>
      <c r="G611" s="57"/>
      <c r="H611" s="57"/>
      <c r="J611" s="137"/>
    </row>
    <row r="612" spans="1:10" s="21" customFormat="1" ht="12.75" hidden="1">
      <c r="A612" s="26" t="s">
        <v>75</v>
      </c>
      <c r="B612" s="24" t="s">
        <v>156</v>
      </c>
      <c r="C612" s="24" t="s">
        <v>88</v>
      </c>
      <c r="D612" s="24" t="s">
        <v>2</v>
      </c>
      <c r="E612" s="24"/>
      <c r="F612" s="24"/>
      <c r="G612" s="63"/>
      <c r="H612" s="63">
        <f>SUM(H613,H621,H641,H645,H647)</f>
        <v>0</v>
      </c>
      <c r="J612" s="137"/>
    </row>
    <row r="613" spans="1:10" s="45" customFormat="1" ht="12.75" hidden="1">
      <c r="A613" s="43" t="s">
        <v>4</v>
      </c>
      <c r="B613" s="44" t="s">
        <v>156</v>
      </c>
      <c r="C613" s="44" t="s">
        <v>88</v>
      </c>
      <c r="D613" s="44" t="s">
        <v>2</v>
      </c>
      <c r="E613" s="44" t="s">
        <v>5</v>
      </c>
      <c r="F613" s="44"/>
      <c r="G613" s="61">
        <f>SUM(G614,G615,G620)</f>
        <v>0</v>
      </c>
      <c r="H613" s="61"/>
      <c r="J613" s="133"/>
    </row>
    <row r="614" spans="1:10" s="28" customFormat="1" ht="12.75" hidden="1">
      <c r="A614" s="87" t="s">
        <v>6</v>
      </c>
      <c r="B614" s="27" t="s">
        <v>156</v>
      </c>
      <c r="C614" s="27" t="s">
        <v>88</v>
      </c>
      <c r="D614" s="27" t="s">
        <v>2</v>
      </c>
      <c r="E614" s="27" t="s">
        <v>7</v>
      </c>
      <c r="F614" s="27"/>
      <c r="G614" s="56">
        <f>SUM(H614:H614)</f>
        <v>0</v>
      </c>
      <c r="H614" s="56"/>
      <c r="J614" s="134"/>
    </row>
    <row r="615" spans="1:10" s="28" customFormat="1" ht="12.75" hidden="1">
      <c r="A615" s="87" t="s">
        <v>8</v>
      </c>
      <c r="B615" s="27" t="s">
        <v>156</v>
      </c>
      <c r="C615" s="27" t="s">
        <v>88</v>
      </c>
      <c r="D615" s="27" t="s">
        <v>2</v>
      </c>
      <c r="E615" s="27" t="s">
        <v>9</v>
      </c>
      <c r="F615" s="27"/>
      <c r="G615" s="56">
        <f>SUM(G616:G619)</f>
        <v>0</v>
      </c>
      <c r="H615" s="56"/>
      <c r="J615" s="134"/>
    </row>
    <row r="616" spans="1:10" s="21" customFormat="1" ht="25.5" hidden="1">
      <c r="A616" s="11" t="s">
        <v>10</v>
      </c>
      <c r="B616" s="29"/>
      <c r="C616" s="29"/>
      <c r="D616" s="29"/>
      <c r="E616" s="4"/>
      <c r="F616" s="4" t="s">
        <v>183</v>
      </c>
      <c r="G616" s="55">
        <f aca="true" t="shared" si="7" ref="G616:G622">SUM(H616:H616)</f>
        <v>0</v>
      </c>
      <c r="H616" s="54"/>
      <c r="J616" s="137"/>
    </row>
    <row r="617" spans="1:10" s="21" customFormat="1" ht="12.75" customHeight="1" hidden="1">
      <c r="A617" s="12" t="s">
        <v>11</v>
      </c>
      <c r="B617" s="29"/>
      <c r="C617" s="29"/>
      <c r="D617" s="29"/>
      <c r="E617" s="4"/>
      <c r="F617" s="4" t="s">
        <v>200</v>
      </c>
      <c r="G617" s="55">
        <f t="shared" si="7"/>
        <v>0</v>
      </c>
      <c r="H617" s="54"/>
      <c r="J617" s="137"/>
    </row>
    <row r="618" spans="1:10" s="30" customFormat="1" ht="12.75" hidden="1">
      <c r="A618" s="65" t="s">
        <v>130</v>
      </c>
      <c r="B618" s="29"/>
      <c r="C618" s="29"/>
      <c r="D618" s="29"/>
      <c r="E618" s="29"/>
      <c r="F618" s="29" t="s">
        <v>199</v>
      </c>
      <c r="G618" s="58">
        <f t="shared" si="7"/>
        <v>0</v>
      </c>
      <c r="H618" s="54"/>
      <c r="J618" s="135"/>
    </row>
    <row r="619" spans="1:10" s="21" customFormat="1" ht="25.5" hidden="1">
      <c r="A619" s="6" t="s">
        <v>12</v>
      </c>
      <c r="B619" s="29"/>
      <c r="C619" s="29"/>
      <c r="D619" s="29"/>
      <c r="E619" s="4"/>
      <c r="F619" s="4" t="s">
        <v>184</v>
      </c>
      <c r="G619" s="55">
        <f t="shared" si="7"/>
        <v>0</v>
      </c>
      <c r="H619" s="54"/>
      <c r="J619" s="137"/>
    </row>
    <row r="620" spans="1:10" s="28" customFormat="1" ht="12.75" hidden="1">
      <c r="A620" s="87" t="s">
        <v>13</v>
      </c>
      <c r="B620" s="27" t="s">
        <v>156</v>
      </c>
      <c r="C620" s="27" t="s">
        <v>88</v>
      </c>
      <c r="D620" s="27" t="s">
        <v>2</v>
      </c>
      <c r="E620" s="27" t="s">
        <v>14</v>
      </c>
      <c r="F620" s="17"/>
      <c r="G620" s="56">
        <f t="shared" si="7"/>
        <v>0</v>
      </c>
      <c r="H620" s="56"/>
      <c r="J620" s="134"/>
    </row>
    <row r="621" spans="1:10" s="45" customFormat="1" ht="12.75" hidden="1">
      <c r="A621" s="43" t="s">
        <v>15</v>
      </c>
      <c r="B621" s="50" t="s">
        <v>156</v>
      </c>
      <c r="C621" s="50" t="s">
        <v>88</v>
      </c>
      <c r="D621" s="50" t="s">
        <v>2</v>
      </c>
      <c r="E621" s="44" t="s">
        <v>16</v>
      </c>
      <c r="F621" s="44"/>
      <c r="G621" s="61">
        <f t="shared" si="7"/>
        <v>0</v>
      </c>
      <c r="H621" s="61"/>
      <c r="J621" s="133"/>
    </row>
    <row r="622" spans="1:10" s="28" customFormat="1" ht="12.75" hidden="1">
      <c r="A622" s="87" t="s">
        <v>17</v>
      </c>
      <c r="B622" s="27" t="s">
        <v>156</v>
      </c>
      <c r="C622" s="27" t="s">
        <v>88</v>
      </c>
      <c r="D622" s="27" t="s">
        <v>2</v>
      </c>
      <c r="E622" s="27" t="s">
        <v>18</v>
      </c>
      <c r="F622" s="17"/>
      <c r="G622" s="56">
        <f t="shared" si="7"/>
        <v>0</v>
      </c>
      <c r="H622" s="56"/>
      <c r="J622" s="134"/>
    </row>
    <row r="623" spans="1:10" s="28" customFormat="1" ht="12.75" hidden="1">
      <c r="A623" s="87" t="s">
        <v>21</v>
      </c>
      <c r="B623" s="27" t="s">
        <v>156</v>
      </c>
      <c r="C623" s="27" t="s">
        <v>88</v>
      </c>
      <c r="D623" s="27" t="s">
        <v>2</v>
      </c>
      <c r="E623" s="27" t="s">
        <v>19</v>
      </c>
      <c r="F623" s="17"/>
      <c r="G623" s="56">
        <f>SUM(G624:G625)</f>
        <v>0</v>
      </c>
      <c r="H623" s="56"/>
      <c r="J623" s="134"/>
    </row>
    <row r="624" spans="1:10" s="21" customFormat="1" ht="24" customHeight="1" hidden="1">
      <c r="A624" s="11" t="s">
        <v>20</v>
      </c>
      <c r="B624" s="29"/>
      <c r="C624" s="29"/>
      <c r="D624" s="29"/>
      <c r="E624" s="4"/>
      <c r="F624" s="4" t="s">
        <v>183</v>
      </c>
      <c r="G624" s="55">
        <f>SUM(H624:H624)</f>
        <v>0</v>
      </c>
      <c r="H624" s="54"/>
      <c r="J624" s="137"/>
    </row>
    <row r="625" spans="1:10" s="21" customFormat="1" ht="38.25" hidden="1">
      <c r="A625" s="8" t="s">
        <v>22</v>
      </c>
      <c r="B625" s="29"/>
      <c r="C625" s="29"/>
      <c r="D625" s="29"/>
      <c r="E625" s="4"/>
      <c r="F625" s="4" t="s">
        <v>185</v>
      </c>
      <c r="G625" s="55">
        <f>SUM(H625:H625)</f>
        <v>0</v>
      </c>
      <c r="H625" s="54"/>
      <c r="J625" s="137"/>
    </row>
    <row r="626" spans="1:10" s="21" customFormat="1" ht="12.75" hidden="1">
      <c r="A626" s="16" t="s">
        <v>23</v>
      </c>
      <c r="B626" s="27" t="s">
        <v>156</v>
      </c>
      <c r="C626" s="27" t="s">
        <v>88</v>
      </c>
      <c r="D626" s="27" t="s">
        <v>2</v>
      </c>
      <c r="E626" s="17" t="s">
        <v>24</v>
      </c>
      <c r="F626" s="17"/>
      <c r="G626" s="54">
        <f>SUM(G627:G629)</f>
        <v>0</v>
      </c>
      <c r="H626" s="54"/>
      <c r="J626" s="137"/>
    </row>
    <row r="627" spans="1:10" s="21" customFormat="1" ht="25.5" hidden="1">
      <c r="A627" s="7" t="s">
        <v>25</v>
      </c>
      <c r="B627" s="29"/>
      <c r="C627" s="29"/>
      <c r="D627" s="29"/>
      <c r="E627" s="4"/>
      <c r="F627" s="4" t="s">
        <v>186</v>
      </c>
      <c r="G627" s="55">
        <f>SUM(H627:H627)</f>
        <v>0</v>
      </c>
      <c r="H627" s="54"/>
      <c r="J627" s="137"/>
    </row>
    <row r="628" spans="1:10" s="21" customFormat="1" ht="25.5" hidden="1">
      <c r="A628" s="7" t="s">
        <v>26</v>
      </c>
      <c r="B628" s="29"/>
      <c r="C628" s="29"/>
      <c r="D628" s="29"/>
      <c r="E628" s="4"/>
      <c r="F628" s="4" t="s">
        <v>187</v>
      </c>
      <c r="G628" s="55">
        <f>SUM(H628:H628)</f>
        <v>0</v>
      </c>
      <c r="H628" s="54"/>
      <c r="J628" s="137"/>
    </row>
    <row r="629" spans="1:10" s="21" customFormat="1" ht="12.75" hidden="1">
      <c r="A629" s="7" t="s">
        <v>27</v>
      </c>
      <c r="B629" s="29"/>
      <c r="C629" s="29"/>
      <c r="D629" s="29"/>
      <c r="E629" s="4"/>
      <c r="F629" s="4" t="s">
        <v>188</v>
      </c>
      <c r="G629" s="55">
        <f>SUM(H629:H629)</f>
        <v>0</v>
      </c>
      <c r="H629" s="54"/>
      <c r="J629" s="137"/>
    </row>
    <row r="630" spans="1:10" s="28" customFormat="1" ht="12.75" hidden="1">
      <c r="A630" s="87" t="s">
        <v>28</v>
      </c>
      <c r="B630" s="27" t="s">
        <v>156</v>
      </c>
      <c r="C630" s="27" t="s">
        <v>88</v>
      </c>
      <c r="D630" s="27" t="s">
        <v>2</v>
      </c>
      <c r="E630" s="27" t="s">
        <v>29</v>
      </c>
      <c r="F630" s="17"/>
      <c r="G630" s="56">
        <f>SUM(H630:H630)</f>
        <v>0</v>
      </c>
      <c r="H630" s="56"/>
      <c r="J630" s="134"/>
    </row>
    <row r="631" spans="1:10" s="28" customFormat="1" ht="12.75" hidden="1">
      <c r="A631" s="87" t="s">
        <v>30</v>
      </c>
      <c r="B631" s="27" t="s">
        <v>156</v>
      </c>
      <c r="C631" s="27" t="s">
        <v>88</v>
      </c>
      <c r="D631" s="27" t="s">
        <v>2</v>
      </c>
      <c r="E631" s="27" t="s">
        <v>31</v>
      </c>
      <c r="F631" s="17"/>
      <c r="G631" s="56">
        <f>SUM(G632:G636)</f>
        <v>0</v>
      </c>
      <c r="H631" s="56"/>
      <c r="J631" s="134"/>
    </row>
    <row r="632" spans="1:10" s="21" customFormat="1" ht="12.75" hidden="1">
      <c r="A632" s="7" t="s">
        <v>32</v>
      </c>
      <c r="B632" s="29"/>
      <c r="C632" s="29"/>
      <c r="D632" s="29"/>
      <c r="E632" s="17"/>
      <c r="F632" s="17" t="s">
        <v>189</v>
      </c>
      <c r="G632" s="54">
        <f>SUM(H632:H632)</f>
        <v>0</v>
      </c>
      <c r="H632" s="54"/>
      <c r="J632" s="137"/>
    </row>
    <row r="633" spans="1:10" s="21" customFormat="1" ht="12" customHeight="1" hidden="1">
      <c r="A633" s="7" t="s">
        <v>33</v>
      </c>
      <c r="B633" s="29"/>
      <c r="C633" s="29"/>
      <c r="D633" s="29"/>
      <c r="E633" s="17"/>
      <c r="F633" s="17" t="s">
        <v>191</v>
      </c>
      <c r="G633" s="54">
        <f>SUM(H633:H633)</f>
        <v>0</v>
      </c>
      <c r="H633" s="54"/>
      <c r="J633" s="137"/>
    </row>
    <row r="634" spans="1:10" s="21" customFormat="1" ht="25.5" hidden="1">
      <c r="A634" s="7" t="s">
        <v>34</v>
      </c>
      <c r="B634" s="29"/>
      <c r="C634" s="29"/>
      <c r="D634" s="29"/>
      <c r="E634" s="17"/>
      <c r="F634" s="17" t="s">
        <v>221</v>
      </c>
      <c r="G634" s="54">
        <f>SUM(H634:H634)</f>
        <v>0</v>
      </c>
      <c r="H634" s="54"/>
      <c r="J634" s="137"/>
    </row>
    <row r="635" spans="1:10" s="21" customFormat="1" ht="25.5" hidden="1">
      <c r="A635" s="7" t="s">
        <v>35</v>
      </c>
      <c r="B635" s="29"/>
      <c r="C635" s="29"/>
      <c r="D635" s="29"/>
      <c r="E635" s="17"/>
      <c r="F635" s="17" t="s">
        <v>190</v>
      </c>
      <c r="G635" s="54">
        <f>SUM(H635:H635)</f>
        <v>0</v>
      </c>
      <c r="H635" s="54"/>
      <c r="J635" s="137"/>
    </row>
    <row r="636" spans="1:10" s="21" customFormat="1" ht="51" hidden="1">
      <c r="A636" s="7" t="s">
        <v>36</v>
      </c>
      <c r="B636" s="29"/>
      <c r="C636" s="29"/>
      <c r="D636" s="29"/>
      <c r="E636" s="17"/>
      <c r="F636" s="17" t="s">
        <v>190</v>
      </c>
      <c r="G636" s="54">
        <f>SUM(H636:H636)</f>
        <v>0</v>
      </c>
      <c r="H636" s="54"/>
      <c r="J636" s="137"/>
    </row>
    <row r="637" spans="1:10" s="28" customFormat="1" ht="12.75" hidden="1">
      <c r="A637" s="87" t="s">
        <v>37</v>
      </c>
      <c r="B637" s="27" t="s">
        <v>156</v>
      </c>
      <c r="C637" s="27" t="s">
        <v>88</v>
      </c>
      <c r="D637" s="27" t="s">
        <v>2</v>
      </c>
      <c r="E637" s="27" t="s">
        <v>38</v>
      </c>
      <c r="F637" s="17"/>
      <c r="G637" s="56">
        <f>SUM(G638:G640)</f>
        <v>0</v>
      </c>
      <c r="H637" s="56"/>
      <c r="J637" s="134"/>
    </row>
    <row r="638" spans="1:10" s="21" customFormat="1" ht="38.25" hidden="1">
      <c r="A638" s="11" t="s">
        <v>39</v>
      </c>
      <c r="B638" s="29"/>
      <c r="C638" s="29"/>
      <c r="D638" s="29"/>
      <c r="E638" s="20"/>
      <c r="F638" s="20" t="s">
        <v>183</v>
      </c>
      <c r="G638" s="57">
        <f>SUM(H638:H638)</f>
        <v>0</v>
      </c>
      <c r="H638" s="54"/>
      <c r="J638" s="137"/>
    </row>
    <row r="639" spans="1:10" s="21" customFormat="1" ht="38.25" hidden="1">
      <c r="A639" s="19" t="s">
        <v>40</v>
      </c>
      <c r="B639" s="29"/>
      <c r="C639" s="29"/>
      <c r="D639" s="29"/>
      <c r="E639" s="20"/>
      <c r="F639" s="20" t="s">
        <v>222</v>
      </c>
      <c r="G639" s="57">
        <f>SUM(H639:H639)</f>
        <v>0</v>
      </c>
      <c r="H639" s="54"/>
      <c r="J639" s="137"/>
    </row>
    <row r="640" spans="1:10" s="21" customFormat="1" ht="25.5" hidden="1">
      <c r="A640" s="12" t="s">
        <v>41</v>
      </c>
      <c r="B640" s="29"/>
      <c r="C640" s="29"/>
      <c r="D640" s="29"/>
      <c r="E640" s="20"/>
      <c r="F640" s="20" t="s">
        <v>192</v>
      </c>
      <c r="G640" s="57">
        <f>SUM(H640:H640)</f>
        <v>0</v>
      </c>
      <c r="H640" s="54"/>
      <c r="J640" s="137"/>
    </row>
    <row r="641" spans="1:10" s="45" customFormat="1" ht="12.75" hidden="1">
      <c r="A641" s="43" t="s">
        <v>42</v>
      </c>
      <c r="B641" s="44" t="s">
        <v>156</v>
      </c>
      <c r="C641" s="44" t="s">
        <v>88</v>
      </c>
      <c r="D641" s="44" t="s">
        <v>2</v>
      </c>
      <c r="E641" s="44" t="s">
        <v>43</v>
      </c>
      <c r="F641" s="44"/>
      <c r="G641" s="61">
        <f>SUM(G642)</f>
        <v>0</v>
      </c>
      <c r="H641" s="61"/>
      <c r="J641" s="133"/>
    </row>
    <row r="642" spans="1:10" s="28" customFormat="1" ht="12.75" hidden="1">
      <c r="A642" s="87" t="s">
        <v>44</v>
      </c>
      <c r="B642" s="27" t="s">
        <v>156</v>
      </c>
      <c r="C642" s="27" t="s">
        <v>88</v>
      </c>
      <c r="D642" s="27" t="s">
        <v>2</v>
      </c>
      <c r="E642" s="27" t="s">
        <v>45</v>
      </c>
      <c r="F642" s="17"/>
      <c r="G642" s="56">
        <f>SUM(H642:H642)</f>
        <v>0</v>
      </c>
      <c r="H642" s="56"/>
      <c r="J642" s="134"/>
    </row>
    <row r="643" spans="1:10" s="21" customFormat="1" ht="12.75" hidden="1">
      <c r="A643" s="6" t="s">
        <v>46</v>
      </c>
      <c r="B643" s="29"/>
      <c r="C643" s="29"/>
      <c r="D643" s="29"/>
      <c r="E643" s="20"/>
      <c r="F643" s="20"/>
      <c r="G643" s="57">
        <f>SUM(H643:H643)</f>
        <v>0</v>
      </c>
      <c r="H643" s="57"/>
      <c r="J643" s="137"/>
    </row>
    <row r="644" spans="1:10" s="28" customFormat="1" ht="12.75" hidden="1">
      <c r="A644" s="64" t="s">
        <v>129</v>
      </c>
      <c r="B644" s="27"/>
      <c r="C644" s="27"/>
      <c r="D644" s="27"/>
      <c r="E644" s="27"/>
      <c r="F644" s="20" t="s">
        <v>209</v>
      </c>
      <c r="G644" s="56">
        <f>SUM(H644:H644)</f>
        <v>0</v>
      </c>
      <c r="H644" s="56"/>
      <c r="J644" s="134"/>
    </row>
    <row r="645" spans="1:10" s="45" customFormat="1" ht="12.75" hidden="1">
      <c r="A645" s="43" t="s">
        <v>47</v>
      </c>
      <c r="B645" s="44" t="s">
        <v>156</v>
      </c>
      <c r="C645" s="44" t="s">
        <v>88</v>
      </c>
      <c r="D645" s="44" t="s">
        <v>2</v>
      </c>
      <c r="E645" s="44" t="s">
        <v>48</v>
      </c>
      <c r="F645" s="44"/>
      <c r="G645" s="61">
        <f>SUM(H645:H645)</f>
        <v>0</v>
      </c>
      <c r="H645" s="61"/>
      <c r="J645" s="133"/>
    </row>
    <row r="646" spans="1:10" s="21" customFormat="1" ht="25.5" hidden="1">
      <c r="A646" s="12" t="s">
        <v>41</v>
      </c>
      <c r="B646" s="29"/>
      <c r="C646" s="29"/>
      <c r="D646" s="29"/>
      <c r="E646" s="20"/>
      <c r="F646" s="20"/>
      <c r="G646" s="57">
        <f>SUM(H646:H646)</f>
        <v>0</v>
      </c>
      <c r="H646" s="57"/>
      <c r="J646" s="137"/>
    </row>
    <row r="647" spans="1:10" s="45" customFormat="1" ht="12.75" hidden="1">
      <c r="A647" s="43" t="s">
        <v>49</v>
      </c>
      <c r="B647" s="44" t="s">
        <v>156</v>
      </c>
      <c r="C647" s="44" t="s">
        <v>88</v>
      </c>
      <c r="D647" s="44" t="s">
        <v>2</v>
      </c>
      <c r="E647" s="44" t="s">
        <v>50</v>
      </c>
      <c r="F647" s="44"/>
      <c r="G647" s="61">
        <f>SUM(G648,G652)</f>
        <v>0</v>
      </c>
      <c r="H647" s="61"/>
      <c r="J647" s="133"/>
    </row>
    <row r="648" spans="1:10" s="28" customFormat="1" ht="12" customHeight="1" hidden="1">
      <c r="A648" s="87" t="s">
        <v>51</v>
      </c>
      <c r="B648" s="27" t="s">
        <v>156</v>
      </c>
      <c r="C648" s="27" t="s">
        <v>88</v>
      </c>
      <c r="D648" s="27" t="s">
        <v>2</v>
      </c>
      <c r="E648" s="27" t="s">
        <v>52</v>
      </c>
      <c r="F648" s="17"/>
      <c r="G648" s="56">
        <f>SUM(G649:G651)</f>
        <v>0</v>
      </c>
      <c r="H648" s="56"/>
      <c r="J648" s="134"/>
    </row>
    <row r="649" spans="1:10" s="21" customFormat="1" ht="12.75" hidden="1">
      <c r="A649" s="7" t="s">
        <v>53</v>
      </c>
      <c r="B649" s="29"/>
      <c r="C649" s="29"/>
      <c r="D649" s="29"/>
      <c r="E649" s="20"/>
      <c r="F649" s="20" t="s">
        <v>223</v>
      </c>
      <c r="G649" s="57">
        <f>SUM(H649:H649)</f>
        <v>0</v>
      </c>
      <c r="H649" s="57"/>
      <c r="J649" s="137"/>
    </row>
    <row r="650" spans="1:10" s="21" customFormat="1" ht="37.5" customHeight="1" hidden="1">
      <c r="A650" s="7" t="s">
        <v>54</v>
      </c>
      <c r="B650" s="29"/>
      <c r="C650" s="29"/>
      <c r="D650" s="29"/>
      <c r="E650" s="20"/>
      <c r="F650" s="20" t="s">
        <v>194</v>
      </c>
      <c r="G650" s="57">
        <f>SUM(H650:H650)</f>
        <v>0</v>
      </c>
      <c r="H650" s="57"/>
      <c r="J650" s="137"/>
    </row>
    <row r="651" spans="1:10" s="21" customFormat="1" ht="51" hidden="1">
      <c r="A651" s="7" t="s">
        <v>55</v>
      </c>
      <c r="B651" s="29"/>
      <c r="C651" s="29"/>
      <c r="D651" s="29"/>
      <c r="E651" s="20"/>
      <c r="F651" s="20" t="s">
        <v>193</v>
      </c>
      <c r="G651" s="57">
        <f>SUM(H651:H651)</f>
        <v>0</v>
      </c>
      <c r="H651" s="57"/>
      <c r="J651" s="137"/>
    </row>
    <row r="652" spans="1:10" s="21" customFormat="1" ht="12.75" hidden="1">
      <c r="A652" s="16" t="s">
        <v>56</v>
      </c>
      <c r="B652" s="27" t="s">
        <v>156</v>
      </c>
      <c r="C652" s="27" t="s">
        <v>88</v>
      </c>
      <c r="D652" s="27" t="s">
        <v>2</v>
      </c>
      <c r="E652" s="17" t="s">
        <v>57</v>
      </c>
      <c r="F652" s="17"/>
      <c r="G652" s="54">
        <f>SUM(G653:G656)</f>
        <v>0</v>
      </c>
      <c r="H652" s="54"/>
      <c r="J652" s="137"/>
    </row>
    <row r="653" spans="1:10" s="21" customFormat="1" ht="25.5" hidden="1">
      <c r="A653" s="7" t="s">
        <v>58</v>
      </c>
      <c r="B653" s="29"/>
      <c r="C653" s="29"/>
      <c r="D653" s="29"/>
      <c r="E653" s="20"/>
      <c r="F653" s="20" t="s">
        <v>195</v>
      </c>
      <c r="G653" s="57">
        <f>SUM(H653:H653)</f>
        <v>0</v>
      </c>
      <c r="H653" s="57"/>
      <c r="J653" s="137"/>
    </row>
    <row r="654" spans="1:10" s="21" customFormat="1" ht="12.75" hidden="1">
      <c r="A654" s="7" t="s">
        <v>59</v>
      </c>
      <c r="B654" s="29"/>
      <c r="C654" s="29"/>
      <c r="D654" s="29"/>
      <c r="E654" s="20"/>
      <c r="F654" s="20" t="s">
        <v>196</v>
      </c>
      <c r="G654" s="57">
        <f>SUM(H654:H654)</f>
        <v>0</v>
      </c>
      <c r="H654" s="57"/>
      <c r="J654" s="137"/>
    </row>
    <row r="655" spans="1:10" s="21" customFormat="1" ht="12.75" hidden="1">
      <c r="A655" s="7" t="s">
        <v>60</v>
      </c>
      <c r="B655" s="29"/>
      <c r="C655" s="29"/>
      <c r="D655" s="29"/>
      <c r="E655" s="20"/>
      <c r="F655" s="20" t="s">
        <v>197</v>
      </c>
      <c r="G655" s="57">
        <f>SUM(H655:H655)</f>
        <v>0</v>
      </c>
      <c r="H655" s="57"/>
      <c r="J655" s="137"/>
    </row>
    <row r="656" spans="1:10" s="21" customFormat="1" ht="38.25" customHeight="1" hidden="1">
      <c r="A656" s="7" t="s">
        <v>61</v>
      </c>
      <c r="B656" s="29"/>
      <c r="C656" s="29"/>
      <c r="D656" s="29"/>
      <c r="E656" s="20"/>
      <c r="F656" s="20" t="s">
        <v>198</v>
      </c>
      <c r="G656" s="57">
        <f>SUM(H656:H656)</f>
        <v>0</v>
      </c>
      <c r="H656" s="57"/>
      <c r="J656" s="137"/>
    </row>
    <row r="657" spans="1:10" s="21" customFormat="1" ht="12.75" hidden="1">
      <c r="A657" s="7"/>
      <c r="B657" s="20"/>
      <c r="C657" s="20"/>
      <c r="D657" s="20"/>
      <c r="E657" s="20"/>
      <c r="F657" s="20"/>
      <c r="G657" s="57"/>
      <c r="H657" s="57"/>
      <c r="J657" s="137"/>
    </row>
    <row r="658" spans="1:10" s="21" customFormat="1" ht="12.75">
      <c r="A658" s="111" t="s">
        <v>67</v>
      </c>
      <c r="B658" s="48" t="s">
        <v>156</v>
      </c>
      <c r="C658" s="48" t="s">
        <v>88</v>
      </c>
      <c r="D658" s="48" t="s">
        <v>2</v>
      </c>
      <c r="E658" s="48"/>
      <c r="F658" s="48"/>
      <c r="G658" s="51">
        <f>G659</f>
        <v>1100000</v>
      </c>
      <c r="H658" s="51"/>
      <c r="J658" s="137"/>
    </row>
    <row r="659" spans="1:10" s="21" customFormat="1" ht="27.75" customHeight="1">
      <c r="A659" s="163" t="s">
        <v>265</v>
      </c>
      <c r="B659" s="164" t="s">
        <v>313</v>
      </c>
      <c r="C659" s="165" t="s">
        <v>88</v>
      </c>
      <c r="D659" s="164"/>
      <c r="E659" s="164"/>
      <c r="F659" s="164"/>
      <c r="G659" s="102">
        <f>G660</f>
        <v>1100000</v>
      </c>
      <c r="H659" s="57"/>
      <c r="J659" s="137"/>
    </row>
    <row r="660" spans="1:10" s="21" customFormat="1" ht="25.5">
      <c r="A660" s="7" t="s">
        <v>266</v>
      </c>
      <c r="B660" s="20" t="s">
        <v>313</v>
      </c>
      <c r="C660" s="20" t="s">
        <v>267</v>
      </c>
      <c r="D660" s="20"/>
      <c r="E660" s="20"/>
      <c r="F660" s="20"/>
      <c r="G660" s="57">
        <f>G661</f>
        <v>1100000</v>
      </c>
      <c r="H660" s="57"/>
      <c r="J660" s="137"/>
    </row>
    <row r="661" spans="1:10" s="21" customFormat="1" ht="25.5">
      <c r="A661" s="7" t="s">
        <v>269</v>
      </c>
      <c r="B661" s="20" t="s">
        <v>313</v>
      </c>
      <c r="C661" s="20" t="s">
        <v>267</v>
      </c>
      <c r="D661" s="20" t="s">
        <v>268</v>
      </c>
      <c r="E661" s="20"/>
      <c r="F661" s="20"/>
      <c r="G661" s="57">
        <f>G662+G663+G664+G665</f>
        <v>1100000</v>
      </c>
      <c r="H661" s="57"/>
      <c r="J661" s="137"/>
    </row>
    <row r="662" spans="1:10" s="21" customFormat="1" ht="25.5">
      <c r="A662" s="162" t="s">
        <v>271</v>
      </c>
      <c r="B662" s="17"/>
      <c r="C662" s="17"/>
      <c r="D662" s="17"/>
      <c r="E662" s="17"/>
      <c r="F662" s="17"/>
      <c r="G662" s="54">
        <v>400000</v>
      </c>
      <c r="H662" s="57"/>
      <c r="J662" s="137"/>
    </row>
    <row r="663" spans="1:10" s="21" customFormat="1" ht="30.75" customHeight="1">
      <c r="A663" s="162" t="s">
        <v>270</v>
      </c>
      <c r="B663" s="17"/>
      <c r="C663" s="17"/>
      <c r="D663" s="17"/>
      <c r="E663" s="17"/>
      <c r="F663" s="17"/>
      <c r="G663" s="54">
        <v>40000</v>
      </c>
      <c r="H663" s="57"/>
      <c r="J663" s="137"/>
    </row>
    <row r="664" spans="1:10" s="21" customFormat="1" ht="38.25" customHeight="1">
      <c r="A664" s="162" t="s">
        <v>307</v>
      </c>
      <c r="B664" s="17"/>
      <c r="C664" s="17"/>
      <c r="D664" s="17"/>
      <c r="E664" s="17"/>
      <c r="F664" s="17"/>
      <c r="G664" s="54">
        <v>360000</v>
      </c>
      <c r="H664" s="57"/>
      <c r="J664" s="137"/>
    </row>
    <row r="665" spans="1:10" s="21" customFormat="1" ht="38.25" customHeight="1">
      <c r="A665" s="162" t="s">
        <v>312</v>
      </c>
      <c r="B665" s="17"/>
      <c r="C665" s="17"/>
      <c r="D665" s="17"/>
      <c r="E665" s="17"/>
      <c r="F665" s="17"/>
      <c r="G665" s="54">
        <v>300000</v>
      </c>
      <c r="H665" s="57"/>
      <c r="J665" s="137"/>
    </row>
    <row r="666" spans="1:10" s="21" customFormat="1" ht="30" customHeight="1">
      <c r="A666" s="49" t="s">
        <v>76</v>
      </c>
      <c r="B666" s="48" t="s">
        <v>160</v>
      </c>
      <c r="C666" s="48" t="s">
        <v>88</v>
      </c>
      <c r="D666" s="48" t="s">
        <v>2</v>
      </c>
      <c r="E666" s="160"/>
      <c r="F666" s="160"/>
      <c r="G666" s="51">
        <f>G753+G756</f>
        <v>1810000</v>
      </c>
      <c r="H666" s="161"/>
      <c r="J666" s="137"/>
    </row>
    <row r="667" spans="1:10" s="21" customFormat="1" ht="25.5" hidden="1">
      <c r="A667" s="26" t="s">
        <v>77</v>
      </c>
      <c r="B667" s="24" t="s">
        <v>161</v>
      </c>
      <c r="C667" s="24" t="s">
        <v>126</v>
      </c>
      <c r="D667" s="24" t="s">
        <v>69</v>
      </c>
      <c r="E667" s="24"/>
      <c r="F667" s="24"/>
      <c r="G667" s="62"/>
      <c r="H667" s="62"/>
      <c r="J667" s="137"/>
    </row>
    <row r="668" spans="1:10" s="45" customFormat="1" ht="16.5" customHeight="1" hidden="1">
      <c r="A668" s="43" t="s">
        <v>4</v>
      </c>
      <c r="B668" s="44" t="s">
        <v>161</v>
      </c>
      <c r="C668" s="44" t="s">
        <v>126</v>
      </c>
      <c r="D668" s="44" t="s">
        <v>69</v>
      </c>
      <c r="E668" s="44" t="s">
        <v>5</v>
      </c>
      <c r="F668" s="44"/>
      <c r="G668" s="61"/>
      <c r="H668" s="61"/>
      <c r="J668" s="133"/>
    </row>
    <row r="669" spans="1:10" s="28" customFormat="1" ht="12.75" hidden="1">
      <c r="A669" s="87" t="s">
        <v>6</v>
      </c>
      <c r="B669" s="27" t="s">
        <v>161</v>
      </c>
      <c r="C669" s="27" t="s">
        <v>126</v>
      </c>
      <c r="D669" s="27" t="s">
        <v>69</v>
      </c>
      <c r="E669" s="27" t="s">
        <v>7</v>
      </c>
      <c r="F669" s="27"/>
      <c r="G669" s="56"/>
      <c r="H669" s="56"/>
      <c r="J669" s="134"/>
    </row>
    <row r="670" spans="1:10" s="28" customFormat="1" ht="12.75" hidden="1">
      <c r="A670" s="87" t="s">
        <v>8</v>
      </c>
      <c r="B670" s="27" t="s">
        <v>161</v>
      </c>
      <c r="C670" s="27" t="s">
        <v>126</v>
      </c>
      <c r="D670" s="27" t="s">
        <v>69</v>
      </c>
      <c r="E670" s="27" t="s">
        <v>9</v>
      </c>
      <c r="F670" s="27"/>
      <c r="G670" s="56"/>
      <c r="H670" s="56"/>
      <c r="J670" s="134"/>
    </row>
    <row r="671" spans="1:10" s="21" customFormat="1" ht="25.5" hidden="1">
      <c r="A671" s="11" t="s">
        <v>10</v>
      </c>
      <c r="B671" s="4"/>
      <c r="C671" s="4"/>
      <c r="D671" s="4"/>
      <c r="E671" s="4"/>
      <c r="F671" s="4" t="s">
        <v>183</v>
      </c>
      <c r="G671" s="55"/>
      <c r="H671" s="55"/>
      <c r="J671" s="137"/>
    </row>
    <row r="672" spans="1:10" s="21" customFormat="1" ht="14.25" customHeight="1" hidden="1">
      <c r="A672" s="12" t="s">
        <v>11</v>
      </c>
      <c r="B672" s="4"/>
      <c r="C672" s="4"/>
      <c r="D672" s="4"/>
      <c r="E672" s="4"/>
      <c r="F672" s="4" t="s">
        <v>200</v>
      </c>
      <c r="G672" s="55"/>
      <c r="H672" s="55"/>
      <c r="J672" s="137"/>
    </row>
    <row r="673" spans="1:10" s="21" customFormat="1" ht="25.5" hidden="1">
      <c r="A673" s="6" t="s">
        <v>12</v>
      </c>
      <c r="B673" s="4"/>
      <c r="C673" s="4"/>
      <c r="D673" s="4"/>
      <c r="E673" s="4"/>
      <c r="F673" s="4" t="s">
        <v>184</v>
      </c>
      <c r="G673" s="55"/>
      <c r="H673" s="55"/>
      <c r="J673" s="137"/>
    </row>
    <row r="674" spans="1:10" s="28" customFormat="1" ht="12.75" hidden="1">
      <c r="A674" s="87" t="s">
        <v>13</v>
      </c>
      <c r="B674" s="27" t="s">
        <v>161</v>
      </c>
      <c r="C674" s="27" t="s">
        <v>126</v>
      </c>
      <c r="D674" s="27" t="s">
        <v>69</v>
      </c>
      <c r="E674" s="27" t="s">
        <v>14</v>
      </c>
      <c r="F674" s="27"/>
      <c r="G674" s="56"/>
      <c r="H674" s="56"/>
      <c r="J674" s="134"/>
    </row>
    <row r="675" spans="1:10" s="45" customFormat="1" ht="12.75" hidden="1">
      <c r="A675" s="43" t="s">
        <v>15</v>
      </c>
      <c r="B675" s="44" t="s">
        <v>161</v>
      </c>
      <c r="C675" s="44" t="s">
        <v>126</v>
      </c>
      <c r="D675" s="44" t="s">
        <v>69</v>
      </c>
      <c r="E675" s="44" t="s">
        <v>16</v>
      </c>
      <c r="F675" s="44"/>
      <c r="G675" s="61"/>
      <c r="H675" s="61"/>
      <c r="J675" s="133"/>
    </row>
    <row r="676" spans="1:10" s="28" customFormat="1" ht="12.75" hidden="1">
      <c r="A676" s="87" t="s">
        <v>17</v>
      </c>
      <c r="B676" s="27" t="s">
        <v>161</v>
      </c>
      <c r="C676" s="27" t="s">
        <v>126</v>
      </c>
      <c r="D676" s="27" t="s">
        <v>69</v>
      </c>
      <c r="E676" s="27" t="s">
        <v>18</v>
      </c>
      <c r="F676" s="27"/>
      <c r="G676" s="56"/>
      <c r="H676" s="56"/>
      <c r="J676" s="134"/>
    </row>
    <row r="677" spans="1:10" s="28" customFormat="1" ht="12.75" hidden="1">
      <c r="A677" s="87" t="s">
        <v>21</v>
      </c>
      <c r="B677" s="27" t="s">
        <v>161</v>
      </c>
      <c r="C677" s="27" t="s">
        <v>126</v>
      </c>
      <c r="D677" s="27" t="s">
        <v>69</v>
      </c>
      <c r="E677" s="27" t="s">
        <v>19</v>
      </c>
      <c r="F677" s="27"/>
      <c r="G677" s="56"/>
      <c r="H677" s="56"/>
      <c r="J677" s="134"/>
    </row>
    <row r="678" spans="1:10" s="21" customFormat="1" ht="25.5" hidden="1">
      <c r="A678" s="11" t="s">
        <v>20</v>
      </c>
      <c r="B678" s="4"/>
      <c r="C678" s="4"/>
      <c r="D678" s="4"/>
      <c r="E678" s="4"/>
      <c r="F678" s="4" t="s">
        <v>183</v>
      </c>
      <c r="G678" s="55"/>
      <c r="H678" s="55"/>
      <c r="J678" s="137"/>
    </row>
    <row r="679" spans="1:10" s="21" customFormat="1" ht="38.25" hidden="1">
      <c r="A679" s="8" t="s">
        <v>22</v>
      </c>
      <c r="B679" s="4"/>
      <c r="C679" s="4"/>
      <c r="D679" s="4"/>
      <c r="E679" s="4"/>
      <c r="F679" s="4" t="s">
        <v>185</v>
      </c>
      <c r="G679" s="55"/>
      <c r="H679" s="55"/>
      <c r="J679" s="137"/>
    </row>
    <row r="680" spans="1:10" s="28" customFormat="1" ht="12.75" hidden="1">
      <c r="A680" s="87" t="s">
        <v>23</v>
      </c>
      <c r="B680" s="27" t="s">
        <v>161</v>
      </c>
      <c r="C680" s="27" t="s">
        <v>126</v>
      </c>
      <c r="D680" s="27" t="s">
        <v>69</v>
      </c>
      <c r="E680" s="27" t="s">
        <v>24</v>
      </c>
      <c r="F680" s="27"/>
      <c r="G680" s="56"/>
      <c r="H680" s="56"/>
      <c r="J680" s="134"/>
    </row>
    <row r="681" spans="1:10" s="21" customFormat="1" ht="25.5" hidden="1">
      <c r="A681" s="7" t="s">
        <v>25</v>
      </c>
      <c r="B681" s="4"/>
      <c r="C681" s="4"/>
      <c r="D681" s="4"/>
      <c r="E681" s="4"/>
      <c r="F681" s="4" t="s">
        <v>186</v>
      </c>
      <c r="G681" s="55"/>
      <c r="H681" s="55"/>
      <c r="J681" s="137"/>
    </row>
    <row r="682" spans="1:10" s="21" customFormat="1" ht="25.5" customHeight="1" hidden="1">
      <c r="A682" s="7" t="s">
        <v>26</v>
      </c>
      <c r="B682" s="4"/>
      <c r="C682" s="4"/>
      <c r="D682" s="4"/>
      <c r="E682" s="4"/>
      <c r="F682" s="4" t="s">
        <v>187</v>
      </c>
      <c r="G682" s="55"/>
      <c r="H682" s="55"/>
      <c r="J682" s="137"/>
    </row>
    <row r="683" spans="1:10" s="21" customFormat="1" ht="12.75" hidden="1">
      <c r="A683" s="7" t="s">
        <v>27</v>
      </c>
      <c r="B683" s="4"/>
      <c r="C683" s="4"/>
      <c r="D683" s="4"/>
      <c r="E683" s="4"/>
      <c r="F683" s="4" t="s">
        <v>188</v>
      </c>
      <c r="G683" s="55"/>
      <c r="H683" s="55"/>
      <c r="J683" s="137"/>
    </row>
    <row r="684" spans="1:10" s="28" customFormat="1" ht="13.5" customHeight="1" hidden="1">
      <c r="A684" s="87" t="s">
        <v>28</v>
      </c>
      <c r="B684" s="27" t="s">
        <v>161</v>
      </c>
      <c r="C684" s="27" t="s">
        <v>126</v>
      </c>
      <c r="D684" s="27" t="s">
        <v>69</v>
      </c>
      <c r="E684" s="27" t="s">
        <v>29</v>
      </c>
      <c r="F684" s="27"/>
      <c r="G684" s="56"/>
      <c r="H684" s="56"/>
      <c r="J684" s="134"/>
    </row>
    <row r="685" spans="1:10" s="28" customFormat="1" ht="12.75" hidden="1">
      <c r="A685" s="87" t="s">
        <v>30</v>
      </c>
      <c r="B685" s="27" t="s">
        <v>161</v>
      </c>
      <c r="C685" s="27" t="s">
        <v>126</v>
      </c>
      <c r="D685" s="27" t="s">
        <v>69</v>
      </c>
      <c r="E685" s="27" t="s">
        <v>31</v>
      </c>
      <c r="F685" s="27"/>
      <c r="G685" s="56"/>
      <c r="H685" s="56"/>
      <c r="J685" s="134"/>
    </row>
    <row r="686" spans="1:10" s="21" customFormat="1" ht="12.75" hidden="1">
      <c r="A686" s="7" t="s">
        <v>32</v>
      </c>
      <c r="B686" s="17"/>
      <c r="C686" s="17"/>
      <c r="D686" s="17"/>
      <c r="E686" s="17"/>
      <c r="F686" s="17" t="s">
        <v>189</v>
      </c>
      <c r="G686" s="58"/>
      <c r="H686" s="54"/>
      <c r="J686" s="137"/>
    </row>
    <row r="687" spans="1:10" s="21" customFormat="1" ht="12.75" hidden="1">
      <c r="A687" s="7" t="s">
        <v>33</v>
      </c>
      <c r="B687" s="17"/>
      <c r="C687" s="17"/>
      <c r="D687" s="17"/>
      <c r="E687" s="17"/>
      <c r="F687" s="17" t="s">
        <v>191</v>
      </c>
      <c r="G687" s="58"/>
      <c r="H687" s="54"/>
      <c r="J687" s="137"/>
    </row>
    <row r="688" spans="1:10" s="21" customFormat="1" ht="25.5" hidden="1">
      <c r="A688" s="7" t="s">
        <v>34</v>
      </c>
      <c r="B688" s="17"/>
      <c r="C688" s="17"/>
      <c r="D688" s="17"/>
      <c r="E688" s="17"/>
      <c r="F688" s="17" t="s">
        <v>221</v>
      </c>
      <c r="G688" s="58"/>
      <c r="H688" s="54"/>
      <c r="J688" s="137"/>
    </row>
    <row r="689" spans="1:10" s="21" customFormat="1" ht="25.5" hidden="1">
      <c r="A689" s="7" t="s">
        <v>35</v>
      </c>
      <c r="B689" s="17"/>
      <c r="C689" s="17"/>
      <c r="D689" s="17"/>
      <c r="E689" s="17"/>
      <c r="F689" s="17" t="s">
        <v>190</v>
      </c>
      <c r="G689" s="58"/>
      <c r="H689" s="54"/>
      <c r="J689" s="137"/>
    </row>
    <row r="690" spans="1:10" s="21" customFormat="1" ht="51" hidden="1">
      <c r="A690" s="7" t="s">
        <v>36</v>
      </c>
      <c r="B690" s="17"/>
      <c r="C690" s="17"/>
      <c r="D690" s="17"/>
      <c r="E690" s="17"/>
      <c r="F690" s="17" t="s">
        <v>190</v>
      </c>
      <c r="G690" s="58"/>
      <c r="H690" s="54"/>
      <c r="J690" s="137"/>
    </row>
    <row r="691" spans="1:10" s="28" customFormat="1" ht="12.75" hidden="1">
      <c r="A691" s="87" t="s">
        <v>37</v>
      </c>
      <c r="B691" s="27" t="s">
        <v>161</v>
      </c>
      <c r="C691" s="27" t="s">
        <v>126</v>
      </c>
      <c r="D691" s="27" t="s">
        <v>69</v>
      </c>
      <c r="E691" s="27" t="s">
        <v>38</v>
      </c>
      <c r="F691" s="17"/>
      <c r="G691" s="56"/>
      <c r="H691" s="56"/>
      <c r="J691" s="134"/>
    </row>
    <row r="692" spans="1:10" s="21" customFormat="1" ht="38.25" hidden="1">
      <c r="A692" s="11" t="s">
        <v>39</v>
      </c>
      <c r="B692" s="20"/>
      <c r="C692" s="20"/>
      <c r="D692" s="20"/>
      <c r="E692" s="20"/>
      <c r="F692" s="20" t="s">
        <v>183</v>
      </c>
      <c r="G692" s="57"/>
      <c r="H692" s="57"/>
      <c r="J692" s="137"/>
    </row>
    <row r="693" spans="1:10" s="21" customFormat="1" ht="38.25" hidden="1">
      <c r="A693" s="19" t="s">
        <v>40</v>
      </c>
      <c r="B693" s="20"/>
      <c r="C693" s="20"/>
      <c r="D693" s="20"/>
      <c r="E693" s="20"/>
      <c r="F693" s="20" t="s">
        <v>222</v>
      </c>
      <c r="G693" s="57"/>
      <c r="H693" s="57"/>
      <c r="J693" s="137"/>
    </row>
    <row r="694" spans="1:10" s="21" customFormat="1" ht="26.25" customHeight="1" hidden="1">
      <c r="A694" s="12" t="s">
        <v>41</v>
      </c>
      <c r="B694" s="20"/>
      <c r="C694" s="20"/>
      <c r="D694" s="20"/>
      <c r="E694" s="20"/>
      <c r="F694" s="20" t="s">
        <v>192</v>
      </c>
      <c r="G694" s="57"/>
      <c r="H694" s="57"/>
      <c r="J694" s="137"/>
    </row>
    <row r="695" spans="1:10" s="45" customFormat="1" ht="12.75" hidden="1">
      <c r="A695" s="43" t="s">
        <v>42</v>
      </c>
      <c r="B695" s="44" t="s">
        <v>161</v>
      </c>
      <c r="C695" s="44" t="s">
        <v>126</v>
      </c>
      <c r="D695" s="44" t="s">
        <v>69</v>
      </c>
      <c r="E695" s="44" t="s">
        <v>43</v>
      </c>
      <c r="F695" s="44"/>
      <c r="G695" s="61"/>
      <c r="H695" s="61"/>
      <c r="J695" s="133"/>
    </row>
    <row r="696" spans="1:10" s="28" customFormat="1" ht="12.75" hidden="1">
      <c r="A696" s="87" t="s">
        <v>44</v>
      </c>
      <c r="B696" s="27" t="s">
        <v>161</v>
      </c>
      <c r="C696" s="27" t="s">
        <v>126</v>
      </c>
      <c r="D696" s="27" t="s">
        <v>69</v>
      </c>
      <c r="E696" s="27" t="s">
        <v>45</v>
      </c>
      <c r="F696" s="17"/>
      <c r="G696" s="56"/>
      <c r="H696" s="56"/>
      <c r="J696" s="134"/>
    </row>
    <row r="697" spans="1:10" s="21" customFormat="1" ht="12.75" hidden="1">
      <c r="A697" s="6" t="s">
        <v>46</v>
      </c>
      <c r="B697" s="20"/>
      <c r="C697" s="20"/>
      <c r="D697" s="20"/>
      <c r="E697" s="20"/>
      <c r="F697" s="20"/>
      <c r="G697" s="57"/>
      <c r="H697" s="57"/>
      <c r="J697" s="137"/>
    </row>
    <row r="698" spans="1:10" s="45" customFormat="1" ht="12.75" hidden="1">
      <c r="A698" s="43" t="s">
        <v>47</v>
      </c>
      <c r="B698" s="44" t="s">
        <v>161</v>
      </c>
      <c r="C698" s="44" t="s">
        <v>126</v>
      </c>
      <c r="D698" s="44" t="s">
        <v>69</v>
      </c>
      <c r="E698" s="44" t="s">
        <v>48</v>
      </c>
      <c r="F698" s="44"/>
      <c r="G698" s="61"/>
      <c r="H698" s="61"/>
      <c r="J698" s="133"/>
    </row>
    <row r="699" spans="1:10" s="21" customFormat="1" ht="29.25" customHeight="1" hidden="1">
      <c r="A699" s="12" t="s">
        <v>41</v>
      </c>
      <c r="B699" s="20"/>
      <c r="C699" s="20"/>
      <c r="D699" s="20"/>
      <c r="E699" s="20"/>
      <c r="F699" s="20"/>
      <c r="G699" s="57"/>
      <c r="H699" s="57"/>
      <c r="J699" s="137"/>
    </row>
    <row r="700" spans="1:10" s="45" customFormat="1" ht="12.75" hidden="1">
      <c r="A700" s="43" t="s">
        <v>49</v>
      </c>
      <c r="B700" s="44" t="s">
        <v>161</v>
      </c>
      <c r="C700" s="44" t="s">
        <v>126</v>
      </c>
      <c r="D700" s="44" t="s">
        <v>69</v>
      </c>
      <c r="E700" s="44" t="s">
        <v>50</v>
      </c>
      <c r="F700" s="44"/>
      <c r="G700" s="61"/>
      <c r="H700" s="61"/>
      <c r="J700" s="133"/>
    </row>
    <row r="701" spans="1:10" s="28" customFormat="1" ht="12.75" hidden="1">
      <c r="A701" s="87" t="s">
        <v>51</v>
      </c>
      <c r="B701" s="27" t="s">
        <v>161</v>
      </c>
      <c r="C701" s="27" t="s">
        <v>126</v>
      </c>
      <c r="D701" s="27" t="s">
        <v>69</v>
      </c>
      <c r="E701" s="27" t="s">
        <v>52</v>
      </c>
      <c r="F701" s="17"/>
      <c r="G701" s="56"/>
      <c r="H701" s="56"/>
      <c r="J701" s="134"/>
    </row>
    <row r="702" spans="1:10" s="21" customFormat="1" ht="12.75" hidden="1">
      <c r="A702" s="7" t="s">
        <v>53</v>
      </c>
      <c r="B702" s="20"/>
      <c r="C702" s="20"/>
      <c r="D702" s="20"/>
      <c r="E702" s="20"/>
      <c r="F702" s="20" t="s">
        <v>223</v>
      </c>
      <c r="G702" s="57"/>
      <c r="H702" s="57"/>
      <c r="J702" s="137"/>
    </row>
    <row r="703" spans="1:10" s="21" customFormat="1" ht="51" customHeight="1" hidden="1">
      <c r="A703" s="7" t="s">
        <v>54</v>
      </c>
      <c r="B703" s="20"/>
      <c r="C703" s="20"/>
      <c r="D703" s="20"/>
      <c r="E703" s="20"/>
      <c r="F703" s="20" t="s">
        <v>194</v>
      </c>
      <c r="G703" s="57"/>
      <c r="H703" s="57"/>
      <c r="J703" s="137"/>
    </row>
    <row r="704" spans="1:10" s="21" customFormat="1" ht="52.5" customHeight="1" hidden="1">
      <c r="A704" s="7" t="s">
        <v>55</v>
      </c>
      <c r="B704" s="20"/>
      <c r="C704" s="20"/>
      <c r="D704" s="20"/>
      <c r="E704" s="20"/>
      <c r="F704" s="20" t="s">
        <v>193</v>
      </c>
      <c r="G704" s="57"/>
      <c r="H704" s="57"/>
      <c r="J704" s="137"/>
    </row>
    <row r="705" spans="1:10" s="28" customFormat="1" ht="15.75" customHeight="1" hidden="1">
      <c r="A705" s="87" t="s">
        <v>56</v>
      </c>
      <c r="B705" s="27" t="s">
        <v>161</v>
      </c>
      <c r="C705" s="27" t="s">
        <v>126</v>
      </c>
      <c r="D705" s="27" t="s">
        <v>69</v>
      </c>
      <c r="E705" s="27" t="s">
        <v>57</v>
      </c>
      <c r="F705" s="17"/>
      <c r="G705" s="56"/>
      <c r="H705" s="56"/>
      <c r="J705" s="134"/>
    </row>
    <row r="706" spans="1:10" s="21" customFormat="1" ht="25.5" hidden="1">
      <c r="A706" s="7" t="s">
        <v>58</v>
      </c>
      <c r="B706" s="20"/>
      <c r="C706" s="20"/>
      <c r="D706" s="20"/>
      <c r="E706" s="20"/>
      <c r="F706" s="20" t="s">
        <v>195</v>
      </c>
      <c r="G706" s="57"/>
      <c r="H706" s="57"/>
      <c r="J706" s="137"/>
    </row>
    <row r="707" spans="1:10" s="21" customFormat="1" ht="12.75" hidden="1">
      <c r="A707" s="7" t="s">
        <v>59</v>
      </c>
      <c r="B707" s="20"/>
      <c r="C707" s="20"/>
      <c r="D707" s="20"/>
      <c r="E707" s="20"/>
      <c r="F707" s="20" t="s">
        <v>196</v>
      </c>
      <c r="G707" s="57"/>
      <c r="H707" s="57"/>
      <c r="J707" s="137"/>
    </row>
    <row r="708" spans="1:10" s="21" customFormat="1" ht="12.75" hidden="1">
      <c r="A708" s="7" t="s">
        <v>60</v>
      </c>
      <c r="B708" s="20"/>
      <c r="C708" s="20"/>
      <c r="D708" s="20"/>
      <c r="E708" s="20"/>
      <c r="F708" s="20" t="s">
        <v>197</v>
      </c>
      <c r="G708" s="57"/>
      <c r="H708" s="57"/>
      <c r="J708" s="137"/>
    </row>
    <row r="709" spans="1:10" s="21" customFormat="1" ht="38.25" customHeight="1" hidden="1">
      <c r="A709" s="7" t="s">
        <v>61</v>
      </c>
      <c r="B709" s="20"/>
      <c r="C709" s="20"/>
      <c r="D709" s="20"/>
      <c r="E709" s="20"/>
      <c r="F709" s="20" t="s">
        <v>198</v>
      </c>
      <c r="G709" s="57"/>
      <c r="H709" s="57"/>
      <c r="J709" s="137"/>
    </row>
    <row r="710" spans="1:10" s="21" customFormat="1" ht="12.75" hidden="1">
      <c r="A710" s="26" t="s">
        <v>78</v>
      </c>
      <c r="B710" s="24" t="s">
        <v>161</v>
      </c>
      <c r="C710" s="24" t="s">
        <v>143</v>
      </c>
      <c r="D710" s="24" t="s">
        <v>69</v>
      </c>
      <c r="E710" s="24"/>
      <c r="F710" s="24"/>
      <c r="G710" s="62"/>
      <c r="H710" s="62"/>
      <c r="J710" s="137"/>
    </row>
    <row r="711" spans="1:10" s="45" customFormat="1" ht="15.75" customHeight="1" hidden="1">
      <c r="A711" s="43" t="s">
        <v>4</v>
      </c>
      <c r="B711" s="44" t="s">
        <v>161</v>
      </c>
      <c r="C711" s="44" t="s">
        <v>143</v>
      </c>
      <c r="D711" s="44" t="s">
        <v>69</v>
      </c>
      <c r="E711" s="44" t="s">
        <v>5</v>
      </c>
      <c r="F711" s="44"/>
      <c r="G711" s="61"/>
      <c r="H711" s="61"/>
      <c r="J711" s="133"/>
    </row>
    <row r="712" spans="1:10" s="28" customFormat="1" ht="12.75" hidden="1">
      <c r="A712" s="87" t="s">
        <v>6</v>
      </c>
      <c r="B712" s="27" t="s">
        <v>161</v>
      </c>
      <c r="C712" s="27" t="s">
        <v>143</v>
      </c>
      <c r="D712" s="27" t="s">
        <v>69</v>
      </c>
      <c r="E712" s="27" t="s">
        <v>7</v>
      </c>
      <c r="F712" s="27"/>
      <c r="G712" s="56"/>
      <c r="H712" s="56"/>
      <c r="J712" s="134"/>
    </row>
    <row r="713" spans="1:10" s="28" customFormat="1" ht="12.75" hidden="1">
      <c r="A713" s="87" t="s">
        <v>8</v>
      </c>
      <c r="B713" s="27" t="s">
        <v>161</v>
      </c>
      <c r="C713" s="27" t="s">
        <v>143</v>
      </c>
      <c r="D713" s="27" t="s">
        <v>69</v>
      </c>
      <c r="E713" s="27" t="s">
        <v>9</v>
      </c>
      <c r="F713" s="27"/>
      <c r="G713" s="56"/>
      <c r="H713" s="56"/>
      <c r="J713" s="134"/>
    </row>
    <row r="714" spans="1:10" s="21" customFormat="1" ht="25.5" hidden="1">
      <c r="A714" s="11" t="s">
        <v>10</v>
      </c>
      <c r="B714" s="4"/>
      <c r="C714" s="4"/>
      <c r="D714" s="4"/>
      <c r="E714" s="4"/>
      <c r="F714" s="4" t="s">
        <v>183</v>
      </c>
      <c r="G714" s="55"/>
      <c r="H714" s="55"/>
      <c r="J714" s="137"/>
    </row>
    <row r="715" spans="1:10" s="21" customFormat="1" ht="18" customHeight="1" hidden="1">
      <c r="A715" s="12" t="s">
        <v>11</v>
      </c>
      <c r="B715" s="4"/>
      <c r="C715" s="4"/>
      <c r="D715" s="4"/>
      <c r="E715" s="4"/>
      <c r="F715" s="4" t="s">
        <v>200</v>
      </c>
      <c r="G715" s="55"/>
      <c r="H715" s="55"/>
      <c r="J715" s="137"/>
    </row>
    <row r="716" spans="1:10" s="21" customFormat="1" ht="25.5" hidden="1">
      <c r="A716" s="6" t="s">
        <v>12</v>
      </c>
      <c r="B716" s="4"/>
      <c r="C716" s="4"/>
      <c r="D716" s="4"/>
      <c r="E716" s="4"/>
      <c r="F716" s="4" t="s">
        <v>184</v>
      </c>
      <c r="G716" s="55"/>
      <c r="H716" s="55"/>
      <c r="J716" s="137"/>
    </row>
    <row r="717" spans="1:10" s="28" customFormat="1" ht="12.75" hidden="1">
      <c r="A717" s="87" t="s">
        <v>13</v>
      </c>
      <c r="B717" s="27" t="s">
        <v>161</v>
      </c>
      <c r="C717" s="27" t="s">
        <v>143</v>
      </c>
      <c r="D717" s="27" t="s">
        <v>69</v>
      </c>
      <c r="E717" s="27" t="s">
        <v>14</v>
      </c>
      <c r="F717" s="27"/>
      <c r="G717" s="56"/>
      <c r="H717" s="56"/>
      <c r="J717" s="134"/>
    </row>
    <row r="718" spans="1:10" s="45" customFormat="1" ht="12.75" hidden="1">
      <c r="A718" s="43" t="s">
        <v>15</v>
      </c>
      <c r="B718" s="44" t="s">
        <v>161</v>
      </c>
      <c r="C718" s="44" t="s">
        <v>143</v>
      </c>
      <c r="D718" s="44" t="s">
        <v>69</v>
      </c>
      <c r="E718" s="44" t="s">
        <v>16</v>
      </c>
      <c r="F718" s="44"/>
      <c r="G718" s="61"/>
      <c r="H718" s="61"/>
      <c r="J718" s="133"/>
    </row>
    <row r="719" spans="1:10" s="28" customFormat="1" ht="12.75" hidden="1">
      <c r="A719" s="87" t="s">
        <v>17</v>
      </c>
      <c r="B719" s="27" t="s">
        <v>161</v>
      </c>
      <c r="C719" s="27" t="s">
        <v>143</v>
      </c>
      <c r="D719" s="27" t="s">
        <v>69</v>
      </c>
      <c r="E719" s="27" t="s">
        <v>18</v>
      </c>
      <c r="F719" s="27"/>
      <c r="G719" s="56"/>
      <c r="H719" s="56"/>
      <c r="J719" s="134"/>
    </row>
    <row r="720" spans="1:10" s="28" customFormat="1" ht="12.75" hidden="1">
      <c r="A720" s="87" t="s">
        <v>21</v>
      </c>
      <c r="B720" s="27" t="s">
        <v>161</v>
      </c>
      <c r="C720" s="27" t="s">
        <v>143</v>
      </c>
      <c r="D720" s="27" t="s">
        <v>69</v>
      </c>
      <c r="E720" s="27" t="s">
        <v>19</v>
      </c>
      <c r="F720" s="27"/>
      <c r="G720" s="56"/>
      <c r="H720" s="56"/>
      <c r="J720" s="134"/>
    </row>
    <row r="721" spans="1:10" s="21" customFormat="1" ht="25.5" hidden="1">
      <c r="A721" s="11" t="s">
        <v>20</v>
      </c>
      <c r="B721" s="4"/>
      <c r="C721" s="4"/>
      <c r="D721" s="4"/>
      <c r="E721" s="4"/>
      <c r="F721" s="4" t="s">
        <v>183</v>
      </c>
      <c r="G721" s="55"/>
      <c r="H721" s="55"/>
      <c r="J721" s="137"/>
    </row>
    <row r="722" spans="1:10" s="21" customFormat="1" ht="38.25" hidden="1">
      <c r="A722" s="8" t="s">
        <v>22</v>
      </c>
      <c r="B722" s="4"/>
      <c r="C722" s="4"/>
      <c r="D722" s="4"/>
      <c r="E722" s="4"/>
      <c r="F722" s="4" t="s">
        <v>185</v>
      </c>
      <c r="G722" s="55"/>
      <c r="H722" s="55"/>
      <c r="J722" s="137"/>
    </row>
    <row r="723" spans="1:10" s="21" customFormat="1" ht="12.75" hidden="1">
      <c r="A723" s="16" t="s">
        <v>23</v>
      </c>
      <c r="B723" s="27" t="s">
        <v>161</v>
      </c>
      <c r="C723" s="17" t="s">
        <v>143</v>
      </c>
      <c r="D723" s="17" t="s">
        <v>69</v>
      </c>
      <c r="E723" s="17" t="s">
        <v>24</v>
      </c>
      <c r="F723" s="17"/>
      <c r="G723" s="54"/>
      <c r="H723" s="54"/>
      <c r="J723" s="137"/>
    </row>
    <row r="724" spans="1:10" s="21" customFormat="1" ht="25.5" hidden="1">
      <c r="A724" s="7" t="s">
        <v>25</v>
      </c>
      <c r="B724" s="4"/>
      <c r="C724" s="4"/>
      <c r="D724" s="4"/>
      <c r="E724" s="4"/>
      <c r="F724" s="4" t="s">
        <v>186</v>
      </c>
      <c r="G724" s="55"/>
      <c r="H724" s="55"/>
      <c r="J724" s="137"/>
    </row>
    <row r="725" spans="1:10" s="21" customFormat="1" ht="24.75" customHeight="1" hidden="1">
      <c r="A725" s="7" t="s">
        <v>26</v>
      </c>
      <c r="B725" s="4"/>
      <c r="C725" s="4"/>
      <c r="D725" s="4"/>
      <c r="E725" s="4"/>
      <c r="F725" s="4" t="s">
        <v>187</v>
      </c>
      <c r="G725" s="55"/>
      <c r="H725" s="55"/>
      <c r="J725" s="137"/>
    </row>
    <row r="726" spans="1:10" s="21" customFormat="1" ht="12.75" hidden="1">
      <c r="A726" s="7" t="s">
        <v>27</v>
      </c>
      <c r="B726" s="4"/>
      <c r="C726" s="4"/>
      <c r="D726" s="4"/>
      <c r="E726" s="4"/>
      <c r="F726" s="4" t="s">
        <v>188</v>
      </c>
      <c r="G726" s="55"/>
      <c r="H726" s="55"/>
      <c r="J726" s="137"/>
    </row>
    <row r="727" spans="1:10" s="28" customFormat="1" ht="13.5" customHeight="1" hidden="1">
      <c r="A727" s="87" t="s">
        <v>28</v>
      </c>
      <c r="B727" s="27" t="s">
        <v>161</v>
      </c>
      <c r="C727" s="27" t="s">
        <v>143</v>
      </c>
      <c r="D727" s="27" t="s">
        <v>69</v>
      </c>
      <c r="E727" s="27" t="s">
        <v>29</v>
      </c>
      <c r="F727" s="27"/>
      <c r="G727" s="56"/>
      <c r="H727" s="56"/>
      <c r="J727" s="134"/>
    </row>
    <row r="728" spans="1:10" s="28" customFormat="1" ht="12.75" hidden="1">
      <c r="A728" s="87" t="s">
        <v>30</v>
      </c>
      <c r="B728" s="27" t="s">
        <v>161</v>
      </c>
      <c r="C728" s="27" t="s">
        <v>143</v>
      </c>
      <c r="D728" s="27" t="s">
        <v>69</v>
      </c>
      <c r="E728" s="27" t="s">
        <v>31</v>
      </c>
      <c r="F728" s="27"/>
      <c r="G728" s="56"/>
      <c r="H728" s="56"/>
      <c r="J728" s="134"/>
    </row>
    <row r="729" spans="1:10" s="21" customFormat="1" ht="12.75" hidden="1">
      <c r="A729" s="7" t="s">
        <v>32</v>
      </c>
      <c r="B729" s="17"/>
      <c r="C729" s="17"/>
      <c r="D729" s="17"/>
      <c r="E729" s="17"/>
      <c r="F729" s="17" t="s">
        <v>189</v>
      </c>
      <c r="G729" s="58"/>
      <c r="H729" s="54"/>
      <c r="J729" s="137"/>
    </row>
    <row r="730" spans="1:10" s="21" customFormat="1" ht="12.75" hidden="1">
      <c r="A730" s="7" t="s">
        <v>33</v>
      </c>
      <c r="B730" s="17"/>
      <c r="C730" s="17"/>
      <c r="D730" s="17"/>
      <c r="E730" s="17"/>
      <c r="F730" s="17" t="s">
        <v>191</v>
      </c>
      <c r="G730" s="58"/>
      <c r="H730" s="54"/>
      <c r="J730" s="137"/>
    </row>
    <row r="731" spans="1:10" s="21" customFormat="1" ht="25.5" hidden="1">
      <c r="A731" s="7" t="s">
        <v>34</v>
      </c>
      <c r="B731" s="17"/>
      <c r="C731" s="17"/>
      <c r="D731" s="17"/>
      <c r="E731" s="17"/>
      <c r="F731" s="17" t="s">
        <v>221</v>
      </c>
      <c r="G731" s="58"/>
      <c r="H731" s="54"/>
      <c r="J731" s="137"/>
    </row>
    <row r="732" spans="1:10" s="21" customFormat="1" ht="25.5" hidden="1">
      <c r="A732" s="7" t="s">
        <v>35</v>
      </c>
      <c r="B732" s="17"/>
      <c r="C732" s="17"/>
      <c r="D732" s="17"/>
      <c r="E732" s="17"/>
      <c r="F732" s="17" t="s">
        <v>190</v>
      </c>
      <c r="G732" s="58"/>
      <c r="H732" s="54"/>
      <c r="J732" s="137"/>
    </row>
    <row r="733" spans="1:10" s="21" customFormat="1" ht="51" hidden="1">
      <c r="A733" s="7" t="s">
        <v>36</v>
      </c>
      <c r="B733" s="17"/>
      <c r="C733" s="17"/>
      <c r="D733" s="17"/>
      <c r="E733" s="17"/>
      <c r="F733" s="17" t="s">
        <v>190</v>
      </c>
      <c r="G733" s="58"/>
      <c r="H733" s="54"/>
      <c r="J733" s="137"/>
    </row>
    <row r="734" spans="1:10" s="28" customFormat="1" ht="12.75" hidden="1">
      <c r="A734" s="87" t="s">
        <v>37</v>
      </c>
      <c r="B734" s="27" t="s">
        <v>161</v>
      </c>
      <c r="C734" s="27" t="s">
        <v>143</v>
      </c>
      <c r="D734" s="27" t="s">
        <v>69</v>
      </c>
      <c r="E734" s="27" t="s">
        <v>38</v>
      </c>
      <c r="F734" s="17"/>
      <c r="G734" s="56"/>
      <c r="H734" s="56"/>
      <c r="J734" s="134"/>
    </row>
    <row r="735" spans="1:10" s="21" customFormat="1" ht="38.25" hidden="1">
      <c r="A735" s="11" t="s">
        <v>39</v>
      </c>
      <c r="B735" s="20"/>
      <c r="C735" s="20"/>
      <c r="D735" s="20"/>
      <c r="E735" s="20"/>
      <c r="F735" s="20" t="s">
        <v>183</v>
      </c>
      <c r="G735" s="57"/>
      <c r="H735" s="57"/>
      <c r="J735" s="137"/>
    </row>
    <row r="736" spans="1:10" s="21" customFormat="1" ht="38.25" hidden="1">
      <c r="A736" s="19" t="s">
        <v>40</v>
      </c>
      <c r="B736" s="20"/>
      <c r="C736" s="20"/>
      <c r="D736" s="20"/>
      <c r="E736" s="20"/>
      <c r="F736" s="20" t="s">
        <v>222</v>
      </c>
      <c r="G736" s="57"/>
      <c r="H736" s="57"/>
      <c r="J736" s="137"/>
    </row>
    <row r="737" spans="1:10" s="21" customFormat="1" ht="27.75" customHeight="1" hidden="1">
      <c r="A737" s="12" t="s">
        <v>41</v>
      </c>
      <c r="B737" s="20"/>
      <c r="C737" s="20"/>
      <c r="D737" s="20"/>
      <c r="E737" s="20"/>
      <c r="F737" s="20" t="s">
        <v>192</v>
      </c>
      <c r="G737" s="57"/>
      <c r="H737" s="57"/>
      <c r="J737" s="137"/>
    </row>
    <row r="738" spans="1:10" s="45" customFormat="1" ht="12.75" hidden="1">
      <c r="A738" s="43" t="s">
        <v>42</v>
      </c>
      <c r="B738" s="44" t="s">
        <v>161</v>
      </c>
      <c r="C738" s="44" t="s">
        <v>143</v>
      </c>
      <c r="D738" s="44" t="s">
        <v>69</v>
      </c>
      <c r="E738" s="44" t="s">
        <v>43</v>
      </c>
      <c r="F738" s="44"/>
      <c r="G738" s="61"/>
      <c r="H738" s="61"/>
      <c r="J738" s="133"/>
    </row>
    <row r="739" spans="1:10" s="28" customFormat="1" ht="12.75" hidden="1">
      <c r="A739" s="87" t="s">
        <v>44</v>
      </c>
      <c r="B739" s="27" t="s">
        <v>161</v>
      </c>
      <c r="C739" s="27" t="s">
        <v>143</v>
      </c>
      <c r="D739" s="27" t="s">
        <v>69</v>
      </c>
      <c r="E739" s="27" t="s">
        <v>45</v>
      </c>
      <c r="F739" s="17"/>
      <c r="G739" s="56"/>
      <c r="H739" s="56"/>
      <c r="J739" s="134"/>
    </row>
    <row r="740" spans="1:10" s="21" customFormat="1" ht="12.75" hidden="1">
      <c r="A740" s="6" t="s">
        <v>46</v>
      </c>
      <c r="B740" s="20"/>
      <c r="C740" s="20"/>
      <c r="D740" s="20"/>
      <c r="E740" s="20"/>
      <c r="F740" s="20"/>
      <c r="G740" s="57"/>
      <c r="H740" s="57"/>
      <c r="J740" s="137"/>
    </row>
    <row r="741" spans="1:10" s="45" customFormat="1" ht="12.75" hidden="1">
      <c r="A741" s="43" t="s">
        <v>47</v>
      </c>
      <c r="B741" s="44" t="s">
        <v>161</v>
      </c>
      <c r="C741" s="44" t="s">
        <v>143</v>
      </c>
      <c r="D741" s="44" t="s">
        <v>69</v>
      </c>
      <c r="E741" s="44" t="s">
        <v>48</v>
      </c>
      <c r="F741" s="44"/>
      <c r="G741" s="61"/>
      <c r="H741" s="61"/>
      <c r="J741" s="133"/>
    </row>
    <row r="742" spans="1:10" s="21" customFormat="1" ht="27" customHeight="1" hidden="1">
      <c r="A742" s="12" t="s">
        <v>41</v>
      </c>
      <c r="B742" s="20"/>
      <c r="C742" s="20"/>
      <c r="D742" s="20"/>
      <c r="E742" s="20"/>
      <c r="F742" s="20"/>
      <c r="G742" s="57"/>
      <c r="H742" s="57"/>
      <c r="J742" s="137"/>
    </row>
    <row r="743" spans="1:10" s="45" customFormat="1" ht="12.75" hidden="1">
      <c r="A743" s="43" t="s">
        <v>49</v>
      </c>
      <c r="B743" s="44" t="s">
        <v>161</v>
      </c>
      <c r="C743" s="44" t="s">
        <v>143</v>
      </c>
      <c r="D743" s="44" t="s">
        <v>69</v>
      </c>
      <c r="E743" s="44" t="s">
        <v>50</v>
      </c>
      <c r="F743" s="44"/>
      <c r="G743" s="61"/>
      <c r="H743" s="61"/>
      <c r="J743" s="133"/>
    </row>
    <row r="744" spans="1:10" s="28" customFormat="1" ht="12.75" hidden="1">
      <c r="A744" s="87" t="s">
        <v>51</v>
      </c>
      <c r="B744" s="27" t="s">
        <v>161</v>
      </c>
      <c r="C744" s="27" t="s">
        <v>143</v>
      </c>
      <c r="D744" s="27" t="s">
        <v>69</v>
      </c>
      <c r="E744" s="27" t="s">
        <v>52</v>
      </c>
      <c r="F744" s="17"/>
      <c r="G744" s="56"/>
      <c r="H744" s="56"/>
      <c r="J744" s="134"/>
    </row>
    <row r="745" spans="1:10" s="21" customFormat="1" ht="12.75" hidden="1">
      <c r="A745" s="7" t="s">
        <v>53</v>
      </c>
      <c r="B745" s="20"/>
      <c r="C745" s="20"/>
      <c r="D745" s="20"/>
      <c r="E745" s="20"/>
      <c r="F745" s="20" t="s">
        <v>223</v>
      </c>
      <c r="G745" s="57"/>
      <c r="H745" s="57"/>
      <c r="J745" s="137"/>
    </row>
    <row r="746" spans="1:10" s="21" customFormat="1" ht="51" hidden="1">
      <c r="A746" s="7" t="s">
        <v>54</v>
      </c>
      <c r="B746" s="20"/>
      <c r="C746" s="20"/>
      <c r="D746" s="20"/>
      <c r="E746" s="20"/>
      <c r="F746" s="20" t="s">
        <v>194</v>
      </c>
      <c r="G746" s="57"/>
      <c r="H746" s="57"/>
      <c r="J746" s="137"/>
    </row>
    <row r="747" spans="1:10" s="21" customFormat="1" ht="51" customHeight="1" hidden="1">
      <c r="A747" s="7" t="s">
        <v>55</v>
      </c>
      <c r="B747" s="20"/>
      <c r="C747" s="20"/>
      <c r="D747" s="20"/>
      <c r="E747" s="20"/>
      <c r="F747" s="20" t="s">
        <v>193</v>
      </c>
      <c r="G747" s="57"/>
      <c r="H747" s="57"/>
      <c r="J747" s="137"/>
    </row>
    <row r="748" spans="1:10" s="28" customFormat="1" ht="12.75" customHeight="1" hidden="1">
      <c r="A748" s="87" t="s">
        <v>56</v>
      </c>
      <c r="B748" s="27" t="s">
        <v>161</v>
      </c>
      <c r="C748" s="27" t="s">
        <v>143</v>
      </c>
      <c r="D748" s="27" t="s">
        <v>69</v>
      </c>
      <c r="E748" s="27" t="s">
        <v>57</v>
      </c>
      <c r="F748" s="17"/>
      <c r="G748" s="56"/>
      <c r="H748" s="56"/>
      <c r="J748" s="134"/>
    </row>
    <row r="749" spans="1:10" s="21" customFormat="1" ht="25.5" hidden="1">
      <c r="A749" s="7" t="s">
        <v>58</v>
      </c>
      <c r="B749" s="20"/>
      <c r="C749" s="20"/>
      <c r="D749" s="20"/>
      <c r="E749" s="20"/>
      <c r="F749" s="20" t="s">
        <v>195</v>
      </c>
      <c r="G749" s="57"/>
      <c r="H749" s="57"/>
      <c r="J749" s="137"/>
    </row>
    <row r="750" spans="1:10" s="21" customFormat="1" ht="12.75" hidden="1">
      <c r="A750" s="7" t="s">
        <v>59</v>
      </c>
      <c r="B750" s="20"/>
      <c r="C750" s="20"/>
      <c r="D750" s="20"/>
      <c r="E750" s="20"/>
      <c r="F750" s="20" t="s">
        <v>196</v>
      </c>
      <c r="G750" s="57"/>
      <c r="H750" s="57"/>
      <c r="J750" s="137"/>
    </row>
    <row r="751" spans="1:10" s="21" customFormat="1" ht="12.75" customHeight="1" hidden="1">
      <c r="A751" s="7" t="s">
        <v>60</v>
      </c>
      <c r="B751" s="20"/>
      <c r="C751" s="20"/>
      <c r="D751" s="20"/>
      <c r="E751" s="20"/>
      <c r="F751" s="20" t="s">
        <v>197</v>
      </c>
      <c r="G751" s="57"/>
      <c r="H751" s="57"/>
      <c r="J751" s="137"/>
    </row>
    <row r="752" spans="1:10" s="21" customFormat="1" ht="14.25" customHeight="1" hidden="1">
      <c r="A752" s="7" t="s">
        <v>61</v>
      </c>
      <c r="B752" s="20"/>
      <c r="C752" s="20"/>
      <c r="D752" s="20"/>
      <c r="E752" s="20"/>
      <c r="F752" s="20" t="s">
        <v>198</v>
      </c>
      <c r="G752" s="57"/>
      <c r="H752" s="57"/>
      <c r="J752" s="137"/>
    </row>
    <row r="753" spans="1:10" s="45" customFormat="1" ht="12.75">
      <c r="A753" s="166" t="s">
        <v>272</v>
      </c>
      <c r="B753" s="70" t="s">
        <v>161</v>
      </c>
      <c r="C753" s="70" t="s">
        <v>127</v>
      </c>
      <c r="D753" s="70" t="s">
        <v>2</v>
      </c>
      <c r="E753" s="70"/>
      <c r="F753" s="70"/>
      <c r="G753" s="71">
        <f>G754</f>
        <v>1690000</v>
      </c>
      <c r="H753" s="71"/>
      <c r="J753" s="133"/>
    </row>
    <row r="754" spans="1:10" s="28" customFormat="1" ht="12.75">
      <c r="A754" s="87" t="s">
        <v>37</v>
      </c>
      <c r="B754" s="27" t="s">
        <v>161</v>
      </c>
      <c r="C754" s="27" t="s">
        <v>127</v>
      </c>
      <c r="D754" s="27" t="s">
        <v>79</v>
      </c>
      <c r="E754" s="27" t="s">
        <v>38</v>
      </c>
      <c r="F754" s="50"/>
      <c r="G754" s="67">
        <f>G755</f>
        <v>1690000</v>
      </c>
      <c r="H754" s="67"/>
      <c r="J754" s="134"/>
    </row>
    <row r="755" spans="1:10" s="21" customFormat="1" ht="25.5" customHeight="1">
      <c r="A755" s="12" t="s">
        <v>41</v>
      </c>
      <c r="B755" s="20"/>
      <c r="C755" s="20"/>
      <c r="D755" s="20"/>
      <c r="E755" s="20"/>
      <c r="F755" s="20" t="s">
        <v>192</v>
      </c>
      <c r="G755" s="57">
        <v>1690000</v>
      </c>
      <c r="H755" s="57"/>
      <c r="J755" s="137"/>
    </row>
    <row r="756" spans="1:10" s="21" customFormat="1" ht="12.75">
      <c r="A756" s="125" t="s">
        <v>241</v>
      </c>
      <c r="B756" s="14" t="s">
        <v>162</v>
      </c>
      <c r="C756" s="14" t="s">
        <v>127</v>
      </c>
      <c r="D756" s="14"/>
      <c r="E756" s="14"/>
      <c r="F756" s="14"/>
      <c r="G756" s="53">
        <f>G757</f>
        <v>120000</v>
      </c>
      <c r="H756" s="57"/>
      <c r="J756" s="137"/>
    </row>
    <row r="757" spans="1:10" s="21" customFormat="1" ht="12.75">
      <c r="A757" s="87" t="s">
        <v>37</v>
      </c>
      <c r="B757" s="14" t="s">
        <v>162</v>
      </c>
      <c r="C757" s="20" t="s">
        <v>127</v>
      </c>
      <c r="D757" s="20"/>
      <c r="E757" s="20" t="s">
        <v>38</v>
      </c>
      <c r="F757" s="20"/>
      <c r="G757" s="57">
        <f>G758</f>
        <v>120000</v>
      </c>
      <c r="H757" s="57"/>
      <c r="J757" s="137"/>
    </row>
    <row r="758" spans="1:10" s="21" customFormat="1" ht="25.5">
      <c r="A758" s="12" t="s">
        <v>41</v>
      </c>
      <c r="B758" s="14"/>
      <c r="C758" s="20"/>
      <c r="D758" s="20"/>
      <c r="E758" s="20"/>
      <c r="F758" s="20" t="s">
        <v>192</v>
      </c>
      <c r="G758" s="57">
        <v>120000</v>
      </c>
      <c r="H758" s="57"/>
      <c r="J758" s="137"/>
    </row>
    <row r="759" spans="1:10" s="21" customFormat="1" ht="12.75">
      <c r="A759" s="49" t="s">
        <v>80</v>
      </c>
      <c r="B759" s="48" t="s">
        <v>163</v>
      </c>
      <c r="C759" s="48" t="s">
        <v>128</v>
      </c>
      <c r="D759" s="48" t="s">
        <v>81</v>
      </c>
      <c r="E759" s="48"/>
      <c r="F759" s="48"/>
      <c r="G759" s="51">
        <f>G760+G762</f>
        <v>955400</v>
      </c>
      <c r="H759" s="161"/>
      <c r="J759" s="137"/>
    </row>
    <row r="760" spans="1:10" s="21" customFormat="1" ht="12.75">
      <c r="A760" s="87" t="s">
        <v>37</v>
      </c>
      <c r="B760" s="14" t="s">
        <v>163</v>
      </c>
      <c r="C760" s="14" t="s">
        <v>128</v>
      </c>
      <c r="D760" s="14" t="s">
        <v>81</v>
      </c>
      <c r="E760" s="14" t="s">
        <v>38</v>
      </c>
      <c r="F760" s="14"/>
      <c r="G760" s="53">
        <f>G761</f>
        <v>775400</v>
      </c>
      <c r="H760" s="53"/>
      <c r="J760" s="137"/>
    </row>
    <row r="761" spans="1:10" s="21" customFormat="1" ht="25.5">
      <c r="A761" s="12" t="s">
        <v>41</v>
      </c>
      <c r="B761" s="20"/>
      <c r="C761" s="20"/>
      <c r="D761" s="20"/>
      <c r="E761" s="20"/>
      <c r="F761" s="20" t="s">
        <v>192</v>
      </c>
      <c r="G761" s="57">
        <v>775400</v>
      </c>
      <c r="H761" s="57"/>
      <c r="J761" s="137"/>
    </row>
    <row r="762" spans="1:10" s="21" customFormat="1" ht="12.75">
      <c r="A762" s="12" t="s">
        <v>308</v>
      </c>
      <c r="B762" s="20"/>
      <c r="C762" s="20"/>
      <c r="D762" s="20"/>
      <c r="E762" s="20"/>
      <c r="F762" s="20"/>
      <c r="G762" s="57">
        <v>180000</v>
      </c>
      <c r="H762" s="57"/>
      <c r="J762" s="137"/>
    </row>
    <row r="763" spans="1:10" s="21" customFormat="1" ht="12.75" hidden="1">
      <c r="A763" s="12" t="s">
        <v>132</v>
      </c>
      <c r="B763" s="20"/>
      <c r="C763" s="20"/>
      <c r="D763" s="20"/>
      <c r="E763" s="20"/>
      <c r="F763" s="20"/>
      <c r="G763" s="57">
        <f>SUM(H763:H763)</f>
        <v>0</v>
      </c>
      <c r="H763" s="57"/>
      <c r="J763" s="137"/>
    </row>
    <row r="764" spans="1:10" s="21" customFormat="1" ht="12.75" hidden="1">
      <c r="A764" s="12" t="s">
        <v>133</v>
      </c>
      <c r="B764" s="20"/>
      <c r="C764" s="20"/>
      <c r="D764" s="20"/>
      <c r="E764" s="20"/>
      <c r="F764" s="20"/>
      <c r="G764" s="57">
        <f>SUM(H764:H764)</f>
        <v>0</v>
      </c>
      <c r="H764" s="57"/>
      <c r="J764" s="137"/>
    </row>
    <row r="765" spans="1:10" s="21" customFormat="1" ht="12.75" hidden="1">
      <c r="A765" s="12" t="s">
        <v>134</v>
      </c>
      <c r="B765" s="20"/>
      <c r="C765" s="20"/>
      <c r="D765" s="20"/>
      <c r="E765" s="20"/>
      <c r="F765" s="20"/>
      <c r="G765" s="57">
        <f>SUM(H765:H765)</f>
        <v>0</v>
      </c>
      <c r="H765" s="57"/>
      <c r="J765" s="137"/>
    </row>
    <row r="766" spans="1:10" s="21" customFormat="1" ht="12.75" hidden="1">
      <c r="A766" s="12" t="s">
        <v>139</v>
      </c>
      <c r="B766" s="20"/>
      <c r="C766" s="20"/>
      <c r="D766" s="20"/>
      <c r="E766" s="20"/>
      <c r="F766" s="20"/>
      <c r="G766" s="57">
        <f>SUM(H766:H766)</f>
        <v>0</v>
      </c>
      <c r="H766" s="57"/>
      <c r="J766" s="137"/>
    </row>
    <row r="767" spans="1:10" s="21" customFormat="1" ht="12.75" hidden="1">
      <c r="A767" s="12" t="s">
        <v>135</v>
      </c>
      <c r="B767" s="20"/>
      <c r="C767" s="20"/>
      <c r="D767" s="20"/>
      <c r="E767" s="20"/>
      <c r="F767" s="20"/>
      <c r="G767" s="57">
        <f>SUM(H767:H767)</f>
        <v>0</v>
      </c>
      <c r="H767" s="57"/>
      <c r="J767" s="137"/>
    </row>
    <row r="768" spans="1:10" s="21" customFormat="1" ht="12.75">
      <c r="A768" s="12"/>
      <c r="B768" s="20"/>
      <c r="C768" s="20"/>
      <c r="D768" s="20"/>
      <c r="E768" s="20"/>
      <c r="F768" s="20"/>
      <c r="G768" s="57"/>
      <c r="H768" s="57"/>
      <c r="J768" s="137"/>
    </row>
    <row r="769" spans="1:10" s="21" customFormat="1" ht="12.75">
      <c r="A769" s="167" t="s">
        <v>235</v>
      </c>
      <c r="B769" s="48" t="s">
        <v>273</v>
      </c>
      <c r="C769" s="160" t="s">
        <v>88</v>
      </c>
      <c r="D769" s="160" t="s">
        <v>2</v>
      </c>
      <c r="E769" s="160"/>
      <c r="F769" s="160"/>
      <c r="G769" s="51">
        <f>G770+G783</f>
        <v>2654616.6</v>
      </c>
      <c r="H769" s="161"/>
      <c r="J769" s="137"/>
    </row>
    <row r="770" spans="1:10" s="21" customFormat="1" ht="12.75">
      <c r="A770" s="22" t="s">
        <v>274</v>
      </c>
      <c r="B770" s="14" t="s">
        <v>236</v>
      </c>
      <c r="C770" s="14" t="s">
        <v>88</v>
      </c>
      <c r="D770" s="14" t="s">
        <v>2</v>
      </c>
      <c r="E770" s="14"/>
      <c r="F770" s="14"/>
      <c r="G770" s="53">
        <f>G771+G777+G774</f>
        <v>2474616.6</v>
      </c>
      <c r="H770" s="57"/>
      <c r="J770" s="137"/>
    </row>
    <row r="771" spans="1:10" s="21" customFormat="1" ht="38.25">
      <c r="A771" s="22" t="s">
        <v>275</v>
      </c>
      <c r="B771" s="14" t="s">
        <v>236</v>
      </c>
      <c r="C771" s="14" t="s">
        <v>276</v>
      </c>
      <c r="D771" s="14" t="s">
        <v>277</v>
      </c>
      <c r="E771" s="14"/>
      <c r="F771" s="14"/>
      <c r="G771" s="53">
        <f>G772</f>
        <v>1395616.6</v>
      </c>
      <c r="H771" s="57"/>
      <c r="J771" s="137"/>
    </row>
    <row r="772" spans="1:10" s="21" customFormat="1" ht="12.75">
      <c r="A772" s="11" t="s">
        <v>278</v>
      </c>
      <c r="B772" s="20" t="s">
        <v>236</v>
      </c>
      <c r="C772" s="20" t="s">
        <v>276</v>
      </c>
      <c r="D772" s="20" t="s">
        <v>277</v>
      </c>
      <c r="E772" s="20" t="s">
        <v>43</v>
      </c>
      <c r="F772" s="20"/>
      <c r="G772" s="57">
        <f>G773</f>
        <v>1395616.6</v>
      </c>
      <c r="H772" s="57"/>
      <c r="J772" s="137"/>
    </row>
    <row r="773" spans="1:10" s="21" customFormat="1" ht="12.75">
      <c r="A773" s="11" t="s">
        <v>44</v>
      </c>
      <c r="B773" s="20" t="s">
        <v>236</v>
      </c>
      <c r="C773" s="20" t="s">
        <v>276</v>
      </c>
      <c r="D773" s="20" t="s">
        <v>277</v>
      </c>
      <c r="E773" s="20" t="s">
        <v>45</v>
      </c>
      <c r="F773" s="20"/>
      <c r="G773" s="57">
        <f>1500000-72185-0.7-32197.7</f>
        <v>1395616.6</v>
      </c>
      <c r="H773" s="57"/>
      <c r="J773" s="137"/>
    </row>
    <row r="774" spans="1:10" s="21" customFormat="1" ht="12.75">
      <c r="A774" s="22" t="s">
        <v>237</v>
      </c>
      <c r="B774" s="164" t="s">
        <v>236</v>
      </c>
      <c r="C774" s="164" t="s">
        <v>238</v>
      </c>
      <c r="D774" s="164" t="s">
        <v>239</v>
      </c>
      <c r="E774" s="164"/>
      <c r="F774" s="164"/>
      <c r="G774" s="102">
        <f>G775</f>
        <v>79000</v>
      </c>
      <c r="H774" s="57"/>
      <c r="J774" s="137"/>
    </row>
    <row r="775" spans="1:10" s="21" customFormat="1" ht="12.75">
      <c r="A775" s="11" t="s">
        <v>42</v>
      </c>
      <c r="B775" s="20" t="s">
        <v>236</v>
      </c>
      <c r="C775" s="20" t="s">
        <v>276</v>
      </c>
      <c r="D775" s="20"/>
      <c r="E775" s="20" t="s">
        <v>43</v>
      </c>
      <c r="F775" s="20"/>
      <c r="G775" s="57">
        <f>G776</f>
        <v>79000</v>
      </c>
      <c r="H775" s="57"/>
      <c r="J775" s="137"/>
    </row>
    <row r="776" spans="1:10" s="21" customFormat="1" ht="12.75">
      <c r="A776" s="11" t="s">
        <v>44</v>
      </c>
      <c r="B776" s="20" t="s">
        <v>236</v>
      </c>
      <c r="C776" s="20" t="s">
        <v>276</v>
      </c>
      <c r="D776" s="20"/>
      <c r="E776" s="20" t="s">
        <v>45</v>
      </c>
      <c r="F776" s="20"/>
      <c r="G776" s="57">
        <v>79000</v>
      </c>
      <c r="H776" s="57"/>
      <c r="J776" s="137"/>
    </row>
    <row r="777" spans="1:10" s="21" customFormat="1" ht="25.5">
      <c r="A777" s="22" t="s">
        <v>279</v>
      </c>
      <c r="B777" s="14" t="s">
        <v>236</v>
      </c>
      <c r="C777" s="14" t="s">
        <v>280</v>
      </c>
      <c r="D777" s="14" t="s">
        <v>281</v>
      </c>
      <c r="E777" s="14"/>
      <c r="F777" s="14"/>
      <c r="G777" s="53">
        <f>G778</f>
        <v>1000000</v>
      </c>
      <c r="H777" s="57"/>
      <c r="J777" s="137"/>
    </row>
    <row r="778" spans="1:10" s="21" customFormat="1" ht="12.75">
      <c r="A778" s="11" t="s">
        <v>15</v>
      </c>
      <c r="B778" s="20" t="s">
        <v>236</v>
      </c>
      <c r="C778" s="20" t="s">
        <v>280</v>
      </c>
      <c r="D778" s="20" t="s">
        <v>281</v>
      </c>
      <c r="E778" s="20" t="s">
        <v>16</v>
      </c>
      <c r="F778" s="20"/>
      <c r="G778" s="57">
        <f>G779</f>
        <v>1000000</v>
      </c>
      <c r="H778" s="57"/>
      <c r="J778" s="137"/>
    </row>
    <row r="779" spans="1:10" s="21" customFormat="1" ht="12.75">
      <c r="A779" s="11" t="s">
        <v>37</v>
      </c>
      <c r="B779" s="20" t="s">
        <v>236</v>
      </c>
      <c r="C779" s="20" t="s">
        <v>280</v>
      </c>
      <c r="D779" s="20" t="s">
        <v>281</v>
      </c>
      <c r="E779" s="20" t="s">
        <v>38</v>
      </c>
      <c r="F779" s="20"/>
      <c r="G779" s="57">
        <f>G780</f>
        <v>1000000</v>
      </c>
      <c r="H779" s="57"/>
      <c r="J779" s="137"/>
    </row>
    <row r="780" spans="1:10" s="21" customFormat="1" ht="25.5">
      <c r="A780" s="168" t="s">
        <v>41</v>
      </c>
      <c r="B780" s="17"/>
      <c r="C780" s="17"/>
      <c r="D780" s="17"/>
      <c r="E780" s="17"/>
      <c r="F780" s="17" t="s">
        <v>192</v>
      </c>
      <c r="G780" s="54">
        <f>G781</f>
        <v>1000000</v>
      </c>
      <c r="H780" s="57"/>
      <c r="J780" s="137"/>
    </row>
    <row r="781" spans="1:10" s="21" customFormat="1" ht="12.75">
      <c r="A781" s="11" t="s">
        <v>283</v>
      </c>
      <c r="B781" s="20"/>
      <c r="C781" s="20"/>
      <c r="D781" s="20"/>
      <c r="E781" s="20"/>
      <c r="F781" s="20"/>
      <c r="G781" s="57">
        <f>G782</f>
        <v>1000000</v>
      </c>
      <c r="H781" s="57"/>
      <c r="J781" s="137"/>
    </row>
    <row r="782" spans="1:10" s="21" customFormat="1" ht="24.75" customHeight="1">
      <c r="A782" s="11" t="s">
        <v>282</v>
      </c>
      <c r="B782" s="20"/>
      <c r="C782" s="20"/>
      <c r="D782" s="20"/>
      <c r="E782" s="20"/>
      <c r="F782" s="20"/>
      <c r="G782" s="57">
        <v>1000000</v>
      </c>
      <c r="H782" s="57"/>
      <c r="J782" s="137"/>
    </row>
    <row r="783" spans="1:10" s="21" customFormat="1" ht="24.75" customHeight="1">
      <c r="A783" s="22" t="s">
        <v>284</v>
      </c>
      <c r="B783" s="14" t="s">
        <v>285</v>
      </c>
      <c r="C783" s="14" t="s">
        <v>286</v>
      </c>
      <c r="D783" s="14" t="s">
        <v>2</v>
      </c>
      <c r="E783" s="14"/>
      <c r="F783" s="14"/>
      <c r="G783" s="53">
        <f>G784</f>
        <v>180000</v>
      </c>
      <c r="H783" s="57"/>
      <c r="J783" s="137"/>
    </row>
    <row r="784" spans="1:10" s="21" customFormat="1" ht="27.75" customHeight="1">
      <c r="A784" s="11" t="s">
        <v>288</v>
      </c>
      <c r="B784" s="14" t="s">
        <v>285</v>
      </c>
      <c r="C784" s="14" t="s">
        <v>287</v>
      </c>
      <c r="D784" s="14" t="s">
        <v>2</v>
      </c>
      <c r="E784" s="20"/>
      <c r="F784" s="20"/>
      <c r="G784" s="57">
        <f>G785</f>
        <v>180000</v>
      </c>
      <c r="H784" s="57"/>
      <c r="J784" s="137"/>
    </row>
    <row r="785" spans="1:10" s="21" customFormat="1" ht="24.75" customHeight="1">
      <c r="A785" s="168" t="s">
        <v>289</v>
      </c>
      <c r="B785" s="17"/>
      <c r="C785" s="17"/>
      <c r="D785" s="17"/>
      <c r="E785" s="17"/>
      <c r="F785" s="17"/>
      <c r="G785" s="54">
        <v>180000</v>
      </c>
      <c r="H785" s="57"/>
      <c r="J785" s="137"/>
    </row>
    <row r="786" spans="1:10" s="21" customFormat="1" ht="12.75">
      <c r="A786" s="125" t="s">
        <v>290</v>
      </c>
      <c r="B786" s="14" t="s">
        <v>240</v>
      </c>
      <c r="C786" s="14" t="s">
        <v>88</v>
      </c>
      <c r="D786" s="14" t="s">
        <v>2</v>
      </c>
      <c r="E786" s="20"/>
      <c r="F786" s="20"/>
      <c r="G786" s="53">
        <f>G787</f>
        <v>8275900</v>
      </c>
      <c r="H786" s="57"/>
      <c r="J786" s="137"/>
    </row>
    <row r="787" spans="1:10" s="21" customFormat="1" ht="25.5">
      <c r="A787" s="125" t="s">
        <v>291</v>
      </c>
      <c r="B787" s="14" t="s">
        <v>292</v>
      </c>
      <c r="C787" s="14" t="s">
        <v>88</v>
      </c>
      <c r="D787" s="14" t="s">
        <v>2</v>
      </c>
      <c r="E787" s="20"/>
      <c r="F787" s="20"/>
      <c r="G787" s="53">
        <f>G788</f>
        <v>8275900</v>
      </c>
      <c r="H787" s="57"/>
      <c r="J787" s="137"/>
    </row>
    <row r="788" spans="1:10" s="21" customFormat="1" ht="12.75">
      <c r="A788" s="6" t="s">
        <v>293</v>
      </c>
      <c r="B788" s="20" t="s">
        <v>292</v>
      </c>
      <c r="C788" s="20" t="s">
        <v>294</v>
      </c>
      <c r="D788" s="20" t="s">
        <v>2</v>
      </c>
      <c r="E788" s="20"/>
      <c r="F788" s="20"/>
      <c r="G788" s="57">
        <f>G789</f>
        <v>8275900</v>
      </c>
      <c r="H788" s="57"/>
      <c r="J788" s="137"/>
    </row>
    <row r="789" spans="1:10" s="21" customFormat="1" ht="38.25">
      <c r="A789" s="6" t="s">
        <v>296</v>
      </c>
      <c r="B789" s="20" t="s">
        <v>292</v>
      </c>
      <c r="C789" s="20" t="s">
        <v>294</v>
      </c>
      <c r="D789" s="20" t="s">
        <v>295</v>
      </c>
      <c r="E789" s="20"/>
      <c r="F789" s="20"/>
      <c r="G789" s="57">
        <v>8275900</v>
      </c>
      <c r="H789" s="57"/>
      <c r="J789" s="137"/>
    </row>
    <row r="790" spans="1:10" s="21" customFormat="1" ht="12.75">
      <c r="A790" s="125"/>
      <c r="B790" s="14"/>
      <c r="C790" s="14"/>
      <c r="D790" s="14"/>
      <c r="E790" s="20"/>
      <c r="F790" s="20"/>
      <c r="G790" s="53"/>
      <c r="H790" s="57"/>
      <c r="J790" s="137"/>
    </row>
    <row r="791" spans="1:10" s="21" customFormat="1" ht="12.75">
      <c r="A791" s="125"/>
      <c r="B791" s="14"/>
      <c r="C791" s="14"/>
      <c r="D791" s="14"/>
      <c r="E791" s="20"/>
      <c r="F791" s="20"/>
      <c r="G791" s="53"/>
      <c r="H791" s="57"/>
      <c r="J791" s="137"/>
    </row>
    <row r="792" spans="1:10" s="45" customFormat="1" ht="15.75">
      <c r="A792" s="170" t="s">
        <v>230</v>
      </c>
      <c r="B792" s="171"/>
      <c r="C792" s="171"/>
      <c r="D792" s="171"/>
      <c r="E792" s="171"/>
      <c r="F792" s="171"/>
      <c r="G792" s="172">
        <f>G769+G759+G666+G321+G302+G9+G786+G658+G290+G288</f>
        <v>51585466.918</v>
      </c>
      <c r="H792" s="172"/>
      <c r="J792" s="133"/>
    </row>
  </sheetData>
  <mergeCells count="4">
    <mergeCell ref="H7:H8"/>
    <mergeCell ref="G7:G8"/>
    <mergeCell ref="A7:F7"/>
    <mergeCell ref="A4:H4"/>
  </mergeCells>
  <printOptions horizontalCentered="1"/>
  <pageMargins left="0.3937007874015748" right="0.24" top="0.3937007874015748" bottom="0.3937007874015748" header="0.5118110236220472" footer="0.1968503937007874"/>
  <pageSetup horizontalDpi="600" verticalDpi="600" orientation="portrait" paperSize="9" scale="8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11"/>
  <sheetViews>
    <sheetView zoomScale="99" zoomScaleNormal="99" zoomScaleSheetLayoutView="99" workbookViewId="0" topLeftCell="A782">
      <selection activeCell="L190" sqref="L190"/>
    </sheetView>
  </sheetViews>
  <sheetFormatPr defaultColWidth="9.00390625" defaultRowHeight="12.75"/>
  <cols>
    <col min="1" max="1" width="43.25390625" style="13" customWidth="1"/>
    <col min="2" max="2" width="6.125" style="3" customWidth="1"/>
    <col min="3" max="3" width="9.00390625" style="3" customWidth="1"/>
    <col min="4" max="5" width="4.75390625" style="3" customWidth="1"/>
    <col min="6" max="6" width="10.00390625" style="3" customWidth="1"/>
    <col min="7" max="7" width="18.25390625" style="0" customWidth="1"/>
    <col min="8" max="8" width="16.875" style="0" customWidth="1"/>
    <col min="9" max="9" width="16.125" style="0" customWidth="1"/>
    <col min="10" max="10" width="17.00390625" style="0" customWidth="1"/>
    <col min="11" max="11" width="18.875" style="0" customWidth="1"/>
    <col min="12" max="12" width="17.25390625" style="0" customWidth="1"/>
    <col min="13" max="13" width="16.75390625" style="0" customWidth="1"/>
  </cols>
  <sheetData>
    <row r="1" spans="8:11" ht="12.75">
      <c r="H1" s="18"/>
      <c r="J1" s="18" t="s">
        <v>309</v>
      </c>
      <c r="K1" s="18"/>
    </row>
    <row r="2" spans="1:11" ht="12.75">
      <c r="A2" s="169"/>
      <c r="B2" s="169"/>
      <c r="C2" s="169"/>
      <c r="D2" s="169"/>
      <c r="E2" s="169"/>
      <c r="F2" s="169"/>
      <c r="G2" s="169"/>
      <c r="H2" s="169"/>
      <c r="J2" s="18" t="s">
        <v>405</v>
      </c>
      <c r="K2" s="18"/>
    </row>
    <row r="3" spans="1:11" ht="12.75">
      <c r="A3" s="94"/>
      <c r="B3" s="94"/>
      <c r="C3" s="94"/>
      <c r="D3" s="94"/>
      <c r="E3" s="95"/>
      <c r="F3" s="21"/>
      <c r="G3" s="21"/>
      <c r="H3" s="21"/>
      <c r="J3" s="18" t="s">
        <v>406</v>
      </c>
      <c r="K3" s="18"/>
    </row>
    <row r="4" spans="1:9" ht="15.75">
      <c r="A4" s="283" t="s">
        <v>258</v>
      </c>
      <c r="B4" s="283"/>
      <c r="C4" s="283"/>
      <c r="D4" s="283"/>
      <c r="E4" s="283"/>
      <c r="F4" s="283"/>
      <c r="G4" s="283"/>
      <c r="H4" s="283"/>
      <c r="I4" s="145"/>
    </row>
    <row r="5" spans="1:9" ht="15.75">
      <c r="A5" s="146" t="s">
        <v>256</v>
      </c>
      <c r="B5" s="146"/>
      <c r="C5" s="146"/>
      <c r="D5" s="146"/>
      <c r="E5" s="147"/>
      <c r="F5" s="148"/>
      <c r="G5" s="148"/>
      <c r="H5" s="148"/>
      <c r="I5" s="145"/>
    </row>
    <row r="6" spans="1:9" ht="15.75">
      <c r="A6" s="146" t="s">
        <v>257</v>
      </c>
      <c r="B6" s="146"/>
      <c r="C6" s="146"/>
      <c r="D6" s="146"/>
      <c r="E6" s="147"/>
      <c r="F6" s="148"/>
      <c r="G6" s="148"/>
      <c r="H6" s="148"/>
      <c r="I6" s="145"/>
    </row>
    <row r="7" spans="1:9" ht="15.75">
      <c r="A7" s="146"/>
      <c r="B7" s="146"/>
      <c r="C7" s="146"/>
      <c r="D7" s="146"/>
      <c r="E7" s="147"/>
      <c r="F7" s="148"/>
      <c r="G7" s="148"/>
      <c r="H7" s="148"/>
      <c r="I7" s="145"/>
    </row>
    <row r="8" spans="1:13" ht="12.75" customHeight="1">
      <c r="A8" s="280" t="s">
        <v>0</v>
      </c>
      <c r="B8" s="281"/>
      <c r="C8" s="281"/>
      <c r="D8" s="281"/>
      <c r="E8" s="281"/>
      <c r="F8" s="282"/>
      <c r="G8" s="286" t="s">
        <v>246</v>
      </c>
      <c r="H8" s="276" t="s">
        <v>314</v>
      </c>
      <c r="I8" s="276" t="s">
        <v>315</v>
      </c>
      <c r="J8" s="276" t="s">
        <v>316</v>
      </c>
      <c r="K8" s="276" t="s">
        <v>317</v>
      </c>
      <c r="L8" s="284" t="s">
        <v>411</v>
      </c>
      <c r="M8" s="284" t="s">
        <v>412</v>
      </c>
    </row>
    <row r="9" spans="1:13" ht="24.75" customHeight="1">
      <c r="A9" s="1" t="s">
        <v>1</v>
      </c>
      <c r="B9" s="2" t="s">
        <v>164</v>
      </c>
      <c r="C9" s="2" t="s">
        <v>165</v>
      </c>
      <c r="D9" s="2" t="s">
        <v>166</v>
      </c>
      <c r="E9" s="2" t="s">
        <v>167</v>
      </c>
      <c r="F9" s="2" t="s">
        <v>168</v>
      </c>
      <c r="G9" s="287"/>
      <c r="H9" s="277"/>
      <c r="I9" s="277"/>
      <c r="J9" s="277"/>
      <c r="K9" s="277"/>
      <c r="L9" s="285"/>
      <c r="M9" s="285"/>
    </row>
    <row r="10" spans="1:13" ht="12.75">
      <c r="A10" s="47" t="s">
        <v>3</v>
      </c>
      <c r="B10" s="48" t="s">
        <v>144</v>
      </c>
      <c r="C10" s="48" t="s">
        <v>82</v>
      </c>
      <c r="D10" s="48" t="s">
        <v>2</v>
      </c>
      <c r="E10" s="48"/>
      <c r="F10" s="48"/>
      <c r="G10" s="192">
        <f>H10+I10+J10+K10</f>
        <v>27219437.902000003</v>
      </c>
      <c r="H10" s="192">
        <f aca="true" t="shared" si="0" ref="H10:M10">H11+H201+H267</f>
        <v>7755512</v>
      </c>
      <c r="I10" s="192">
        <f t="shared" si="0"/>
        <v>7667404</v>
      </c>
      <c r="J10" s="192">
        <f t="shared" si="0"/>
        <v>5753510.8</v>
      </c>
      <c r="K10" s="192">
        <f t="shared" si="0"/>
        <v>6043011.102</v>
      </c>
      <c r="L10" s="192" t="e">
        <f t="shared" si="0"/>
        <v>#REF!</v>
      </c>
      <c r="M10" s="192" t="e">
        <f t="shared" si="0"/>
        <v>#REF!</v>
      </c>
    </row>
    <row r="11" spans="1:13" ht="25.5">
      <c r="A11" s="112" t="s">
        <v>231</v>
      </c>
      <c r="B11" s="113" t="s">
        <v>145</v>
      </c>
      <c r="C11" s="113" t="s">
        <v>232</v>
      </c>
      <c r="D11" s="113" t="s">
        <v>2</v>
      </c>
      <c r="E11" s="113"/>
      <c r="F11" s="113"/>
      <c r="G11" s="192">
        <f>H11+I11+J11+K11</f>
        <v>742130</v>
      </c>
      <c r="H11" s="192">
        <f aca="true" t="shared" si="1" ref="H11:M12">H12</f>
        <v>187750</v>
      </c>
      <c r="I11" s="192">
        <f t="shared" si="1"/>
        <v>180340</v>
      </c>
      <c r="J11" s="192">
        <f t="shared" si="1"/>
        <v>209960</v>
      </c>
      <c r="K11" s="192">
        <f t="shared" si="1"/>
        <v>164080</v>
      </c>
      <c r="L11" s="192">
        <f t="shared" si="1"/>
        <v>181338.32</v>
      </c>
      <c r="M11" s="192">
        <f t="shared" si="1"/>
        <v>560791.6799999999</v>
      </c>
    </row>
    <row r="12" spans="1:13" ht="25.5">
      <c r="A12" s="8" t="s">
        <v>171</v>
      </c>
      <c r="B12" s="4" t="s">
        <v>145</v>
      </c>
      <c r="C12" s="4" t="s">
        <v>232</v>
      </c>
      <c r="D12" s="4" t="s">
        <v>2</v>
      </c>
      <c r="E12" s="4"/>
      <c r="F12" s="4"/>
      <c r="G12" s="194">
        <f>H12+I12+J12+K12</f>
        <v>742130</v>
      </c>
      <c r="H12" s="194">
        <f t="shared" si="1"/>
        <v>187750</v>
      </c>
      <c r="I12" s="194">
        <f t="shared" si="1"/>
        <v>180340</v>
      </c>
      <c r="J12" s="194">
        <f t="shared" si="1"/>
        <v>209960</v>
      </c>
      <c r="K12" s="194">
        <f t="shared" si="1"/>
        <v>164080</v>
      </c>
      <c r="L12" s="194">
        <f t="shared" si="1"/>
        <v>181338.32</v>
      </c>
      <c r="M12" s="194">
        <f t="shared" si="1"/>
        <v>560791.6799999999</v>
      </c>
    </row>
    <row r="13" spans="1:13" ht="12.75">
      <c r="A13" s="10" t="s">
        <v>174</v>
      </c>
      <c r="B13" s="14" t="s">
        <v>145</v>
      </c>
      <c r="C13" s="14" t="s">
        <v>232</v>
      </c>
      <c r="D13" s="14" t="s">
        <v>175</v>
      </c>
      <c r="E13" s="14" t="s">
        <v>2</v>
      </c>
      <c r="F13" s="14"/>
      <c r="G13" s="195">
        <f>H13+I13+J13+K13</f>
        <v>742130</v>
      </c>
      <c r="H13" s="195">
        <f aca="true" t="shared" si="2" ref="H13:M13">H14+H166+H191+H189</f>
        <v>187750</v>
      </c>
      <c r="I13" s="195">
        <f t="shared" si="2"/>
        <v>180340</v>
      </c>
      <c r="J13" s="195">
        <f t="shared" si="2"/>
        <v>209960</v>
      </c>
      <c r="K13" s="195">
        <f t="shared" si="2"/>
        <v>164080</v>
      </c>
      <c r="L13" s="195">
        <f t="shared" si="2"/>
        <v>181338.32</v>
      </c>
      <c r="M13" s="195">
        <f t="shared" si="2"/>
        <v>560791.6799999999</v>
      </c>
    </row>
    <row r="14" spans="1:13" ht="25.5">
      <c r="A14" s="10" t="s">
        <v>4</v>
      </c>
      <c r="B14" s="14" t="s">
        <v>145</v>
      </c>
      <c r="C14" s="14" t="s">
        <v>232</v>
      </c>
      <c r="D14" s="14" t="s">
        <v>175</v>
      </c>
      <c r="E14" s="14" t="s">
        <v>5</v>
      </c>
      <c r="F14" s="14"/>
      <c r="G14" s="197">
        <f>H14+I14+J14+K14</f>
        <v>51630</v>
      </c>
      <c r="H14" s="197">
        <f aca="true" t="shared" si="3" ref="H14:M14">H15+H16+H165</f>
        <v>0</v>
      </c>
      <c r="I14" s="197">
        <f t="shared" si="3"/>
        <v>47210</v>
      </c>
      <c r="J14" s="197">
        <f t="shared" si="3"/>
        <v>2210</v>
      </c>
      <c r="K14" s="197">
        <f t="shared" si="3"/>
        <v>2210</v>
      </c>
      <c r="L14" s="197">
        <f t="shared" si="3"/>
        <v>1360</v>
      </c>
      <c r="M14" s="197">
        <f t="shared" si="3"/>
        <v>50270</v>
      </c>
    </row>
    <row r="15" spans="1:13" ht="12.75">
      <c r="A15" s="19" t="s">
        <v>6</v>
      </c>
      <c r="B15" s="20" t="s">
        <v>145</v>
      </c>
      <c r="C15" s="20" t="s">
        <v>232</v>
      </c>
      <c r="D15" s="20" t="s">
        <v>175</v>
      </c>
      <c r="E15" s="20" t="s">
        <v>7</v>
      </c>
      <c r="F15" s="20" t="s">
        <v>369</v>
      </c>
      <c r="G15" s="201"/>
      <c r="H15" s="194"/>
      <c r="I15" s="200"/>
      <c r="J15" s="200"/>
      <c r="K15" s="200"/>
      <c r="L15" s="200"/>
      <c r="M15" s="200"/>
    </row>
    <row r="16" spans="1:13" ht="12.75">
      <c r="A16" s="8" t="s">
        <v>233</v>
      </c>
      <c r="B16" s="20" t="s">
        <v>145</v>
      </c>
      <c r="C16" s="20" t="s">
        <v>232</v>
      </c>
      <c r="D16" s="20" t="s">
        <v>175</v>
      </c>
      <c r="E16" s="4" t="s">
        <v>9</v>
      </c>
      <c r="F16" s="4"/>
      <c r="G16" s="201">
        <f>H16+I16+J16+K16</f>
        <v>51630</v>
      </c>
      <c r="H16" s="201">
        <f aca="true" t="shared" si="4" ref="H16:M16">H162+H163+H164</f>
        <v>0</v>
      </c>
      <c r="I16" s="201">
        <f t="shared" si="4"/>
        <v>47210</v>
      </c>
      <c r="J16" s="201">
        <f t="shared" si="4"/>
        <v>2210</v>
      </c>
      <c r="K16" s="201">
        <f t="shared" si="4"/>
        <v>2210</v>
      </c>
      <c r="L16" s="201">
        <f t="shared" si="4"/>
        <v>1360</v>
      </c>
      <c r="M16" s="201">
        <f t="shared" si="4"/>
        <v>50270</v>
      </c>
    </row>
    <row r="17" spans="1:13" s="78" customFormat="1" ht="38.25" customHeight="1" hidden="1">
      <c r="A17" s="47" t="s">
        <v>169</v>
      </c>
      <c r="B17" s="48" t="s">
        <v>170</v>
      </c>
      <c r="C17" s="48" t="s">
        <v>88</v>
      </c>
      <c r="D17" s="48" t="s">
        <v>2</v>
      </c>
      <c r="E17" s="48" t="s">
        <v>2</v>
      </c>
      <c r="F17" s="48"/>
      <c r="G17" s="200"/>
      <c r="H17" s="194"/>
      <c r="I17" s="203"/>
      <c r="J17" s="203"/>
      <c r="K17" s="203"/>
      <c r="L17" s="203"/>
      <c r="M17" s="203"/>
    </row>
    <row r="18" spans="1:13" s="78" customFormat="1" ht="25.5" customHeight="1" hidden="1">
      <c r="A18" s="79" t="s">
        <v>171</v>
      </c>
      <c r="B18" s="80" t="s">
        <v>170</v>
      </c>
      <c r="C18" s="80" t="s">
        <v>82</v>
      </c>
      <c r="D18" s="80" t="s">
        <v>2</v>
      </c>
      <c r="E18" s="80" t="s">
        <v>2</v>
      </c>
      <c r="F18" s="48"/>
      <c r="G18" s="200">
        <f>SUM(H18:H18)</f>
        <v>0</v>
      </c>
      <c r="H18" s="194"/>
      <c r="I18" s="203"/>
      <c r="J18" s="203"/>
      <c r="K18" s="203"/>
      <c r="L18" s="203"/>
      <c r="M18" s="203"/>
    </row>
    <row r="19" spans="1:13" s="83" customFormat="1" ht="25.5" customHeight="1" hidden="1">
      <c r="A19" s="81" t="s">
        <v>172</v>
      </c>
      <c r="B19" s="82" t="s">
        <v>170</v>
      </c>
      <c r="C19" s="82" t="s">
        <v>82</v>
      </c>
      <c r="D19" s="82" t="s">
        <v>173</v>
      </c>
      <c r="E19" s="82" t="s">
        <v>2</v>
      </c>
      <c r="F19" s="82"/>
      <c r="G19" s="200"/>
      <c r="H19" s="204"/>
      <c r="I19" s="206"/>
      <c r="J19" s="206"/>
      <c r="K19" s="206"/>
      <c r="L19" s="206"/>
      <c r="M19" s="206"/>
    </row>
    <row r="20" spans="1:13" s="72" customFormat="1" ht="12.75" customHeight="1" hidden="1">
      <c r="A20" s="43" t="s">
        <v>4</v>
      </c>
      <c r="B20" s="44"/>
      <c r="C20" s="44"/>
      <c r="D20" s="44"/>
      <c r="E20" s="44" t="s">
        <v>5</v>
      </c>
      <c r="F20" s="44"/>
      <c r="G20" s="201">
        <f>G15*26.2%</f>
        <v>0</v>
      </c>
      <c r="H20" s="204"/>
      <c r="I20" s="207"/>
      <c r="J20" s="207"/>
      <c r="K20" s="207"/>
      <c r="L20" s="207"/>
      <c r="M20" s="207"/>
    </row>
    <row r="21" spans="1:13" s="92" customFormat="1" ht="12.75" customHeight="1" hidden="1">
      <c r="A21" s="87" t="s">
        <v>6</v>
      </c>
      <c r="B21" s="27"/>
      <c r="C21" s="27"/>
      <c r="D21" s="27"/>
      <c r="E21" s="27" t="s">
        <v>7</v>
      </c>
      <c r="F21" s="27"/>
      <c r="G21" s="197">
        <f>SUM(G22,G23,G26,G31,G37)</f>
        <v>0</v>
      </c>
      <c r="H21" s="208"/>
      <c r="I21" s="209"/>
      <c r="J21" s="209"/>
      <c r="K21" s="209"/>
      <c r="L21" s="209"/>
      <c r="M21" s="209"/>
    </row>
    <row r="22" spans="1:13" s="92" customFormat="1" ht="12.75" customHeight="1" hidden="1">
      <c r="A22" s="87" t="s">
        <v>13</v>
      </c>
      <c r="B22" s="27"/>
      <c r="C22" s="27"/>
      <c r="D22" s="27"/>
      <c r="E22" s="27" t="s">
        <v>14</v>
      </c>
      <c r="F22" s="27"/>
      <c r="G22" s="201"/>
      <c r="H22" s="208"/>
      <c r="I22" s="209"/>
      <c r="J22" s="209"/>
      <c r="K22" s="209"/>
      <c r="L22" s="209"/>
      <c r="M22" s="209"/>
    </row>
    <row r="23" spans="1:13" s="31" customFormat="1" ht="12.75" customHeight="1" hidden="1">
      <c r="A23" s="47" t="s">
        <v>174</v>
      </c>
      <c r="B23" s="48" t="s">
        <v>170</v>
      </c>
      <c r="C23" s="48" t="s">
        <v>82</v>
      </c>
      <c r="D23" s="48" t="s">
        <v>175</v>
      </c>
      <c r="E23" s="48" t="s">
        <v>2</v>
      </c>
      <c r="F23" s="48"/>
      <c r="G23" s="219">
        <f>SUM(G24:G25)</f>
        <v>0</v>
      </c>
      <c r="H23" s="208"/>
      <c r="I23" s="210"/>
      <c r="J23" s="210"/>
      <c r="K23" s="210"/>
      <c r="L23" s="210"/>
      <c r="M23" s="210"/>
    </row>
    <row r="24" spans="1:13" s="31" customFormat="1" ht="15" customHeight="1" hidden="1">
      <c r="A24" s="10" t="s">
        <v>4</v>
      </c>
      <c r="B24" s="25" t="s">
        <v>170</v>
      </c>
      <c r="C24" s="25" t="s">
        <v>82</v>
      </c>
      <c r="D24" s="25" t="s">
        <v>175</v>
      </c>
      <c r="E24" s="14" t="s">
        <v>5</v>
      </c>
      <c r="F24" s="14"/>
      <c r="G24" s="200"/>
      <c r="H24" s="208"/>
      <c r="I24" s="210"/>
      <c r="J24" s="210"/>
      <c r="K24" s="210"/>
      <c r="L24" s="210"/>
      <c r="M24" s="210"/>
    </row>
    <row r="25" spans="1:13" s="92" customFormat="1" ht="12.75" customHeight="1" hidden="1">
      <c r="A25" s="87" t="s">
        <v>6</v>
      </c>
      <c r="B25" s="89" t="s">
        <v>170</v>
      </c>
      <c r="C25" s="89" t="s">
        <v>82</v>
      </c>
      <c r="D25" s="89" t="s">
        <v>175</v>
      </c>
      <c r="E25" s="27" t="s">
        <v>7</v>
      </c>
      <c r="F25" s="27"/>
      <c r="G25" s="200"/>
      <c r="H25" s="208"/>
      <c r="I25" s="209"/>
      <c r="J25" s="209"/>
      <c r="K25" s="209"/>
      <c r="L25" s="209"/>
      <c r="M25" s="209"/>
    </row>
    <row r="26" spans="1:13" s="92" customFormat="1" ht="12.75" customHeight="1" hidden="1">
      <c r="A26" s="87" t="s">
        <v>8</v>
      </c>
      <c r="B26" s="89" t="s">
        <v>170</v>
      </c>
      <c r="C26" s="89" t="s">
        <v>82</v>
      </c>
      <c r="D26" s="89" t="s">
        <v>175</v>
      </c>
      <c r="E26" s="27" t="s">
        <v>9</v>
      </c>
      <c r="F26" s="27"/>
      <c r="G26" s="219">
        <f>SUM(G27:G29)</f>
        <v>0</v>
      </c>
      <c r="H26" s="204"/>
      <c r="I26" s="209"/>
      <c r="J26" s="209"/>
      <c r="K26" s="209"/>
      <c r="L26" s="209"/>
      <c r="M26" s="209"/>
    </row>
    <row r="27" spans="1:13" s="31" customFormat="1" ht="25.5" customHeight="1" hidden="1">
      <c r="A27" s="11" t="s">
        <v>10</v>
      </c>
      <c r="B27" s="91"/>
      <c r="C27" s="91"/>
      <c r="D27" s="91"/>
      <c r="E27" s="4"/>
      <c r="F27" s="4" t="s">
        <v>183</v>
      </c>
      <c r="G27" s="200"/>
      <c r="H27" s="194"/>
      <c r="I27" s="210"/>
      <c r="J27" s="210"/>
      <c r="K27" s="210"/>
      <c r="L27" s="210"/>
      <c r="M27" s="210"/>
    </row>
    <row r="28" spans="1:13" s="31" customFormat="1" ht="12.75" customHeight="1" hidden="1">
      <c r="A28" s="12" t="s">
        <v>11</v>
      </c>
      <c r="B28" s="91"/>
      <c r="C28" s="91"/>
      <c r="D28" s="91"/>
      <c r="E28" s="4"/>
      <c r="F28" s="4"/>
      <c r="G28" s="200"/>
      <c r="H28" s="204"/>
      <c r="I28" s="210"/>
      <c r="J28" s="210"/>
      <c r="K28" s="210"/>
      <c r="L28" s="210"/>
      <c r="M28" s="210"/>
    </row>
    <row r="29" spans="1:13" s="31" customFormat="1" ht="25.5" customHeight="1" hidden="1">
      <c r="A29" s="6" t="s">
        <v>12</v>
      </c>
      <c r="B29" s="91"/>
      <c r="C29" s="91"/>
      <c r="D29" s="91"/>
      <c r="E29" s="4"/>
      <c r="F29" s="4" t="s">
        <v>184</v>
      </c>
      <c r="G29" s="200"/>
      <c r="H29" s="204"/>
      <c r="I29" s="210"/>
      <c r="J29" s="210"/>
      <c r="K29" s="210"/>
      <c r="L29" s="210"/>
      <c r="M29" s="210"/>
    </row>
    <row r="30" spans="1:13" s="92" customFormat="1" ht="12.75" customHeight="1" hidden="1">
      <c r="A30" s="87" t="s">
        <v>13</v>
      </c>
      <c r="B30" s="89" t="s">
        <v>170</v>
      </c>
      <c r="C30" s="89" t="s">
        <v>82</v>
      </c>
      <c r="D30" s="89" t="s">
        <v>175</v>
      </c>
      <c r="E30" s="27" t="s">
        <v>14</v>
      </c>
      <c r="F30" s="27"/>
      <c r="G30" s="201">
        <f>SUM(H30:H30)</f>
        <v>0</v>
      </c>
      <c r="H30" s="208"/>
      <c r="I30" s="209"/>
      <c r="J30" s="209"/>
      <c r="K30" s="209"/>
      <c r="L30" s="209"/>
      <c r="M30" s="209"/>
    </row>
    <row r="31" spans="1:13" s="72" customFormat="1" ht="12.75" customHeight="1" hidden="1">
      <c r="A31" s="43" t="s">
        <v>15</v>
      </c>
      <c r="B31" s="70" t="s">
        <v>170</v>
      </c>
      <c r="C31" s="70" t="s">
        <v>82</v>
      </c>
      <c r="D31" s="70" t="s">
        <v>175</v>
      </c>
      <c r="E31" s="44" t="s">
        <v>16</v>
      </c>
      <c r="F31" s="44"/>
      <c r="G31" s="201">
        <f>SUM(G32:G36)</f>
        <v>0</v>
      </c>
      <c r="H31" s="208"/>
      <c r="I31" s="207"/>
      <c r="J31" s="207"/>
      <c r="K31" s="207"/>
      <c r="L31" s="207"/>
      <c r="M31" s="207"/>
    </row>
    <row r="32" spans="1:13" s="92" customFormat="1" ht="12.75" customHeight="1" hidden="1">
      <c r="A32" s="87" t="s">
        <v>17</v>
      </c>
      <c r="B32" s="89" t="s">
        <v>170</v>
      </c>
      <c r="C32" s="89" t="s">
        <v>82</v>
      </c>
      <c r="D32" s="89" t="s">
        <v>175</v>
      </c>
      <c r="E32" s="27" t="s">
        <v>18</v>
      </c>
      <c r="F32" s="27"/>
      <c r="G32" s="186"/>
      <c r="H32" s="204">
        <f>SUM(H33:H35)</f>
        <v>0</v>
      </c>
      <c r="I32" s="209"/>
      <c r="J32" s="209"/>
      <c r="K32" s="209"/>
      <c r="L32" s="209"/>
      <c r="M32" s="209"/>
    </row>
    <row r="33" spans="1:13" s="92" customFormat="1" ht="12.75" customHeight="1" hidden="1">
      <c r="A33" s="87" t="s">
        <v>21</v>
      </c>
      <c r="B33" s="89" t="s">
        <v>170</v>
      </c>
      <c r="C33" s="89" t="s">
        <v>82</v>
      </c>
      <c r="D33" s="89" t="s">
        <v>175</v>
      </c>
      <c r="E33" s="27" t="s">
        <v>19</v>
      </c>
      <c r="F33" s="27"/>
      <c r="G33" s="186">
        <f>SUM(H33:H33)</f>
        <v>0</v>
      </c>
      <c r="H33" s="208"/>
      <c r="I33" s="209"/>
      <c r="J33" s="209"/>
      <c r="K33" s="209"/>
      <c r="L33" s="209"/>
      <c r="M33" s="209"/>
    </row>
    <row r="34" spans="1:13" s="31" customFormat="1" ht="25.5" customHeight="1" hidden="1">
      <c r="A34" s="11" t="s">
        <v>20</v>
      </c>
      <c r="B34" s="91"/>
      <c r="C34" s="91"/>
      <c r="D34" s="91"/>
      <c r="E34" s="4"/>
      <c r="F34" s="4" t="s">
        <v>183</v>
      </c>
      <c r="G34" s="186"/>
      <c r="H34" s="208"/>
      <c r="I34" s="210"/>
      <c r="J34" s="210"/>
      <c r="K34" s="210"/>
      <c r="L34" s="210"/>
      <c r="M34" s="210"/>
    </row>
    <row r="35" spans="1:13" s="31" customFormat="1" ht="38.25" customHeight="1" hidden="1">
      <c r="A35" s="8" t="s">
        <v>22</v>
      </c>
      <c r="B35" s="91"/>
      <c r="C35" s="91"/>
      <c r="D35" s="91"/>
      <c r="E35" s="4"/>
      <c r="F35" s="4" t="s">
        <v>185</v>
      </c>
      <c r="G35" s="186"/>
      <c r="H35" s="208"/>
      <c r="I35" s="210"/>
      <c r="J35" s="210"/>
      <c r="K35" s="210"/>
      <c r="L35" s="210"/>
      <c r="M35" s="210"/>
    </row>
    <row r="36" spans="1:13" s="92" customFormat="1" ht="12.75" customHeight="1" hidden="1">
      <c r="A36" s="87" t="s">
        <v>23</v>
      </c>
      <c r="B36" s="89" t="s">
        <v>170</v>
      </c>
      <c r="C36" s="89" t="s">
        <v>82</v>
      </c>
      <c r="D36" s="89" t="s">
        <v>175</v>
      </c>
      <c r="E36" s="27" t="s">
        <v>24</v>
      </c>
      <c r="F36" s="27"/>
      <c r="G36" s="186"/>
      <c r="H36" s="204"/>
      <c r="I36" s="209"/>
      <c r="J36" s="209"/>
      <c r="K36" s="209"/>
      <c r="L36" s="209"/>
      <c r="M36" s="209"/>
    </row>
    <row r="37" spans="1:13" s="31" customFormat="1" ht="25.5" customHeight="1" hidden="1">
      <c r="A37" s="7" t="s">
        <v>25</v>
      </c>
      <c r="B37" s="91"/>
      <c r="C37" s="91"/>
      <c r="D37" s="91"/>
      <c r="E37" s="4"/>
      <c r="F37" s="4" t="s">
        <v>186</v>
      </c>
      <c r="G37" s="201">
        <f>SUM(G38:G40)</f>
        <v>0</v>
      </c>
      <c r="H37" s="204">
        <f>SUM(H38:H43)</f>
        <v>0</v>
      </c>
      <c r="I37" s="210"/>
      <c r="J37" s="210"/>
      <c r="K37" s="210"/>
      <c r="L37" s="210"/>
      <c r="M37" s="210"/>
    </row>
    <row r="38" spans="1:13" s="31" customFormat="1" ht="25.5" customHeight="1" hidden="1">
      <c r="A38" s="7" t="s">
        <v>26</v>
      </c>
      <c r="B38" s="91"/>
      <c r="C38" s="91"/>
      <c r="D38" s="91"/>
      <c r="E38" s="4"/>
      <c r="F38" s="4" t="s">
        <v>187</v>
      </c>
      <c r="G38" s="214"/>
      <c r="H38" s="204"/>
      <c r="I38" s="210"/>
      <c r="J38" s="210"/>
      <c r="K38" s="210"/>
      <c r="L38" s="210"/>
      <c r="M38" s="210"/>
    </row>
    <row r="39" spans="1:13" s="31" customFormat="1" ht="12.75" customHeight="1" hidden="1">
      <c r="A39" s="7" t="s">
        <v>27</v>
      </c>
      <c r="B39" s="91"/>
      <c r="C39" s="91"/>
      <c r="D39" s="91"/>
      <c r="E39" s="4"/>
      <c r="F39" s="4" t="s">
        <v>188</v>
      </c>
      <c r="G39" s="214">
        <f>SUM(H39:H39)</f>
        <v>0</v>
      </c>
      <c r="H39" s="204"/>
      <c r="I39" s="210"/>
      <c r="J39" s="210"/>
      <c r="K39" s="210"/>
      <c r="L39" s="210"/>
      <c r="M39" s="210"/>
    </row>
    <row r="40" spans="1:13" s="92" customFormat="1" ht="12.75" customHeight="1" hidden="1">
      <c r="A40" s="87" t="s">
        <v>28</v>
      </c>
      <c r="B40" s="89" t="s">
        <v>170</v>
      </c>
      <c r="C40" s="89" t="s">
        <v>82</v>
      </c>
      <c r="D40" s="89" t="s">
        <v>175</v>
      </c>
      <c r="E40" s="27" t="s">
        <v>29</v>
      </c>
      <c r="F40" s="27"/>
      <c r="G40" s="214"/>
      <c r="H40" s="204"/>
      <c r="I40" s="209"/>
      <c r="J40" s="209"/>
      <c r="K40" s="209"/>
      <c r="L40" s="209"/>
      <c r="M40" s="209"/>
    </row>
    <row r="41" spans="1:13" s="92" customFormat="1" ht="12.75" customHeight="1" hidden="1">
      <c r="A41" s="87" t="s">
        <v>30</v>
      </c>
      <c r="B41" s="89" t="s">
        <v>170</v>
      </c>
      <c r="C41" s="89" t="s">
        <v>82</v>
      </c>
      <c r="D41" s="89" t="s">
        <v>175</v>
      </c>
      <c r="E41" s="27" t="s">
        <v>31</v>
      </c>
      <c r="F41" s="27"/>
      <c r="G41" s="197">
        <f>SUM(G42)</f>
        <v>0</v>
      </c>
      <c r="H41" s="204"/>
      <c r="I41" s="209"/>
      <c r="J41" s="209"/>
      <c r="K41" s="209"/>
      <c r="L41" s="209"/>
      <c r="M41" s="209"/>
    </row>
    <row r="42" spans="1:13" s="31" customFormat="1" ht="12.75" customHeight="1" hidden="1">
      <c r="A42" s="7" t="s">
        <v>32</v>
      </c>
      <c r="B42" s="91"/>
      <c r="C42" s="91"/>
      <c r="D42" s="91"/>
      <c r="E42" s="17"/>
      <c r="F42" s="17" t="s">
        <v>189</v>
      </c>
      <c r="G42" s="201">
        <f>SUM(H42:H43)</f>
        <v>0</v>
      </c>
      <c r="H42" s="204"/>
      <c r="I42" s="210"/>
      <c r="J42" s="210"/>
      <c r="K42" s="210"/>
      <c r="L42" s="210"/>
      <c r="M42" s="210"/>
    </row>
    <row r="43" spans="1:13" s="31" customFormat="1" ht="12.75" customHeight="1" hidden="1">
      <c r="A43" s="7" t="s">
        <v>33</v>
      </c>
      <c r="B43" s="91"/>
      <c r="C43" s="91"/>
      <c r="D43" s="91"/>
      <c r="E43" s="17"/>
      <c r="F43" s="17" t="s">
        <v>191</v>
      </c>
      <c r="G43" s="214">
        <f>SUM(H43:H43)</f>
        <v>0</v>
      </c>
      <c r="H43" s="100"/>
      <c r="I43" s="210"/>
      <c r="J43" s="210"/>
      <c r="K43" s="210"/>
      <c r="L43" s="210"/>
      <c r="M43" s="210"/>
    </row>
    <row r="44" spans="1:13" s="31" customFormat="1" ht="25.5" customHeight="1" hidden="1">
      <c r="A44" s="7" t="s">
        <v>34</v>
      </c>
      <c r="B44" s="91"/>
      <c r="C44" s="91"/>
      <c r="D44" s="91"/>
      <c r="E44" s="17"/>
      <c r="F44" s="17" t="s">
        <v>221</v>
      </c>
      <c r="G44" s="197">
        <f>SUM(G45)</f>
        <v>0</v>
      </c>
      <c r="H44" s="204"/>
      <c r="I44" s="210"/>
      <c r="J44" s="210"/>
      <c r="K44" s="210"/>
      <c r="L44" s="210"/>
      <c r="M44" s="210"/>
    </row>
    <row r="45" spans="1:13" s="31" customFormat="1" ht="25.5" customHeight="1" hidden="1">
      <c r="A45" s="7" t="s">
        <v>35</v>
      </c>
      <c r="B45" s="91"/>
      <c r="C45" s="91"/>
      <c r="D45" s="91"/>
      <c r="E45" s="17"/>
      <c r="F45" s="17" t="s">
        <v>190</v>
      </c>
      <c r="G45" s="214"/>
      <c r="H45" s="100"/>
      <c r="I45" s="210"/>
      <c r="J45" s="210"/>
      <c r="K45" s="210"/>
      <c r="L45" s="210"/>
      <c r="M45" s="210"/>
    </row>
    <row r="46" spans="1:13" s="31" customFormat="1" ht="51" customHeight="1" hidden="1">
      <c r="A46" s="7" t="s">
        <v>36</v>
      </c>
      <c r="B46" s="91"/>
      <c r="C46" s="91"/>
      <c r="D46" s="91"/>
      <c r="E46" s="17"/>
      <c r="F46" s="17" t="s">
        <v>224</v>
      </c>
      <c r="G46" s="197">
        <f>SUM(G47,G51)</f>
        <v>0</v>
      </c>
      <c r="H46" s="100"/>
      <c r="I46" s="210"/>
      <c r="J46" s="210"/>
      <c r="K46" s="210"/>
      <c r="L46" s="210"/>
      <c r="M46" s="210"/>
    </row>
    <row r="47" spans="1:13" s="92" customFormat="1" ht="12.75" customHeight="1" hidden="1">
      <c r="A47" s="87" t="s">
        <v>37</v>
      </c>
      <c r="B47" s="89" t="s">
        <v>170</v>
      </c>
      <c r="C47" s="89" t="s">
        <v>82</v>
      </c>
      <c r="D47" s="89" t="s">
        <v>175</v>
      </c>
      <c r="E47" s="27" t="s">
        <v>38</v>
      </c>
      <c r="F47" s="27"/>
      <c r="G47" s="201">
        <f>SUM(G48:G50)</f>
        <v>0</v>
      </c>
      <c r="H47" s="204"/>
      <c r="I47" s="209"/>
      <c r="J47" s="209"/>
      <c r="K47" s="209"/>
      <c r="L47" s="209"/>
      <c r="M47" s="209"/>
    </row>
    <row r="48" spans="1:13" s="31" customFormat="1" ht="38.25" customHeight="1" hidden="1">
      <c r="A48" s="11" t="s">
        <v>39</v>
      </c>
      <c r="B48" s="91"/>
      <c r="C48" s="91"/>
      <c r="D48" s="91"/>
      <c r="E48" s="20"/>
      <c r="F48" s="20" t="s">
        <v>183</v>
      </c>
      <c r="G48" s="214">
        <f>SUM(H48:H48)</f>
        <v>0</v>
      </c>
      <c r="H48" s="194">
        <f>SUM(H49)</f>
        <v>0</v>
      </c>
      <c r="I48" s="210"/>
      <c r="J48" s="210"/>
      <c r="K48" s="210"/>
      <c r="L48" s="210"/>
      <c r="M48" s="210"/>
    </row>
    <row r="49" spans="1:13" s="31" customFormat="1" ht="38.25" customHeight="1" hidden="1">
      <c r="A49" s="19" t="s">
        <v>40</v>
      </c>
      <c r="B49" s="91"/>
      <c r="C49" s="91"/>
      <c r="D49" s="91"/>
      <c r="E49" s="20"/>
      <c r="F49" s="20" t="s">
        <v>222</v>
      </c>
      <c r="G49" s="214"/>
      <c r="H49" s="204"/>
      <c r="I49" s="210"/>
      <c r="J49" s="210"/>
      <c r="K49" s="210"/>
      <c r="L49" s="210"/>
      <c r="M49" s="210"/>
    </row>
    <row r="50" spans="1:13" s="31" customFormat="1" ht="25.5" customHeight="1" hidden="1">
      <c r="A50" s="12" t="s">
        <v>41</v>
      </c>
      <c r="B50" s="91"/>
      <c r="C50" s="91"/>
      <c r="D50" s="91"/>
      <c r="E50" s="20"/>
      <c r="F50" s="20" t="s">
        <v>192</v>
      </c>
      <c r="G50" s="214"/>
      <c r="H50" s="100"/>
      <c r="I50" s="210"/>
      <c r="J50" s="210"/>
      <c r="K50" s="210"/>
      <c r="L50" s="210"/>
      <c r="M50" s="210"/>
    </row>
    <row r="51" spans="1:13" s="72" customFormat="1" ht="12.75" customHeight="1" hidden="1">
      <c r="A51" s="43" t="s">
        <v>42</v>
      </c>
      <c r="B51" s="70" t="s">
        <v>170</v>
      </c>
      <c r="C51" s="70" t="s">
        <v>82</v>
      </c>
      <c r="D51" s="70" t="s">
        <v>175</v>
      </c>
      <c r="E51" s="44" t="s">
        <v>43</v>
      </c>
      <c r="F51" s="44"/>
      <c r="G51" s="201">
        <f>SUM(G52:G55)</f>
        <v>0</v>
      </c>
      <c r="H51" s="194">
        <f>SUM(H52:H52)</f>
        <v>0</v>
      </c>
      <c r="I51" s="207"/>
      <c r="J51" s="207"/>
      <c r="K51" s="207"/>
      <c r="L51" s="207"/>
      <c r="M51" s="207"/>
    </row>
    <row r="52" spans="1:13" s="92" customFormat="1" ht="12.75" customHeight="1" hidden="1">
      <c r="A52" s="87" t="s">
        <v>44</v>
      </c>
      <c r="B52" s="89" t="s">
        <v>170</v>
      </c>
      <c r="C52" s="89" t="s">
        <v>82</v>
      </c>
      <c r="D52" s="89" t="s">
        <v>175</v>
      </c>
      <c r="E52" s="27" t="s">
        <v>45</v>
      </c>
      <c r="F52" s="27"/>
      <c r="G52" s="214">
        <f>SUM(H52:H52)</f>
        <v>0</v>
      </c>
      <c r="H52" s="100"/>
      <c r="I52" s="209"/>
      <c r="J52" s="209"/>
      <c r="K52" s="209"/>
      <c r="L52" s="209"/>
      <c r="M52" s="209"/>
    </row>
    <row r="53" spans="1:13" s="31" customFormat="1" ht="12.75" customHeight="1" hidden="1">
      <c r="A53" s="6" t="s">
        <v>46</v>
      </c>
      <c r="B53" s="91"/>
      <c r="C53" s="91"/>
      <c r="D53" s="91"/>
      <c r="E53" s="20"/>
      <c r="F53" s="20"/>
      <c r="G53" s="214">
        <f>SUM(H53:H53)</f>
        <v>0</v>
      </c>
      <c r="H53" s="194">
        <f>SUM(H54,H58)</f>
        <v>0</v>
      </c>
      <c r="I53" s="210"/>
      <c r="J53" s="210"/>
      <c r="K53" s="210"/>
      <c r="L53" s="210"/>
      <c r="M53" s="210"/>
    </row>
    <row r="54" spans="1:13" s="72" customFormat="1" ht="12.75" customHeight="1" hidden="1">
      <c r="A54" s="43" t="s">
        <v>47</v>
      </c>
      <c r="B54" s="70" t="s">
        <v>170</v>
      </c>
      <c r="C54" s="70" t="s">
        <v>82</v>
      </c>
      <c r="D54" s="70" t="s">
        <v>175</v>
      </c>
      <c r="E54" s="44" t="s">
        <v>48</v>
      </c>
      <c r="F54" s="44"/>
      <c r="G54" s="214"/>
      <c r="H54" s="204">
        <f>SUM(H55:H57)</f>
        <v>0</v>
      </c>
      <c r="I54" s="207"/>
      <c r="J54" s="207"/>
      <c r="K54" s="207"/>
      <c r="L54" s="207"/>
      <c r="M54" s="207"/>
    </row>
    <row r="55" spans="1:13" s="31" customFormat="1" ht="25.5" customHeight="1" hidden="1">
      <c r="A55" s="12" t="s">
        <v>41</v>
      </c>
      <c r="B55" s="91"/>
      <c r="C55" s="91"/>
      <c r="D55" s="91"/>
      <c r="E55" s="20"/>
      <c r="F55" s="20"/>
      <c r="G55" s="214"/>
      <c r="H55" s="100"/>
      <c r="I55" s="210"/>
      <c r="J55" s="210"/>
      <c r="K55" s="210"/>
      <c r="L55" s="210"/>
      <c r="M55" s="210"/>
    </row>
    <row r="56" spans="1:13" s="72" customFormat="1" ht="12.75" customHeight="1" hidden="1">
      <c r="A56" s="43" t="s">
        <v>49</v>
      </c>
      <c r="B56" s="70" t="s">
        <v>170</v>
      </c>
      <c r="C56" s="70" t="s">
        <v>82</v>
      </c>
      <c r="D56" s="70" t="s">
        <v>175</v>
      </c>
      <c r="E56" s="44" t="s">
        <v>50</v>
      </c>
      <c r="F56" s="44"/>
      <c r="G56" s="100">
        <v>321.8</v>
      </c>
      <c r="H56" s="100"/>
      <c r="I56" s="207"/>
      <c r="J56" s="207"/>
      <c r="K56" s="207"/>
      <c r="L56" s="207"/>
      <c r="M56" s="207"/>
    </row>
    <row r="57" spans="1:13" s="92" customFormat="1" ht="12.75" customHeight="1" hidden="1">
      <c r="A57" s="87" t="s">
        <v>51</v>
      </c>
      <c r="B57" s="89" t="s">
        <v>170</v>
      </c>
      <c r="C57" s="89" t="s">
        <v>82</v>
      </c>
      <c r="D57" s="89" t="s">
        <v>175</v>
      </c>
      <c r="E57" s="27" t="s">
        <v>52</v>
      </c>
      <c r="F57" s="27"/>
      <c r="G57" s="100">
        <v>349.9</v>
      </c>
      <c r="H57" s="100"/>
      <c r="I57" s="209"/>
      <c r="J57" s="209"/>
      <c r="K57" s="209"/>
      <c r="L57" s="209"/>
      <c r="M57" s="209"/>
    </row>
    <row r="58" spans="1:13" s="31" customFormat="1" ht="12.75" customHeight="1" hidden="1">
      <c r="A58" s="7" t="s">
        <v>53</v>
      </c>
      <c r="B58" s="91"/>
      <c r="C58" s="91"/>
      <c r="D58" s="91"/>
      <c r="E58" s="20"/>
      <c r="F58" s="20" t="s">
        <v>223</v>
      </c>
      <c r="G58" s="237">
        <f>SUM(G59:G62)</f>
        <v>408.5</v>
      </c>
      <c r="H58" s="204"/>
      <c r="I58" s="210"/>
      <c r="J58" s="210"/>
      <c r="K58" s="210"/>
      <c r="L58" s="210"/>
      <c r="M58" s="210"/>
    </row>
    <row r="59" spans="1:13" s="31" customFormat="1" ht="51" customHeight="1" hidden="1">
      <c r="A59" s="7" t="s">
        <v>54</v>
      </c>
      <c r="B59" s="91"/>
      <c r="C59" s="91"/>
      <c r="D59" s="91"/>
      <c r="E59" s="20"/>
      <c r="F59" s="20" t="s">
        <v>194</v>
      </c>
      <c r="G59" s="100">
        <f>SUM(H59:H59)</f>
        <v>0</v>
      </c>
      <c r="H59" s="100"/>
      <c r="I59" s="210"/>
      <c r="J59" s="210"/>
      <c r="K59" s="210"/>
      <c r="L59" s="210"/>
      <c r="M59" s="210"/>
    </row>
    <row r="60" spans="1:13" s="31" customFormat="1" ht="63.75" customHeight="1" hidden="1">
      <c r="A60" s="7" t="s">
        <v>55</v>
      </c>
      <c r="B60" s="91"/>
      <c r="C60" s="91"/>
      <c r="D60" s="91"/>
      <c r="E60" s="20"/>
      <c r="F60" s="20" t="s">
        <v>193</v>
      </c>
      <c r="G60" s="100">
        <f>SUM(H60:H60)</f>
        <v>0</v>
      </c>
      <c r="H60" s="100"/>
      <c r="I60" s="210"/>
      <c r="J60" s="210"/>
      <c r="K60" s="210"/>
      <c r="L60" s="210"/>
      <c r="M60" s="210"/>
    </row>
    <row r="61" spans="1:13" s="92" customFormat="1" ht="12.75" customHeight="1" hidden="1">
      <c r="A61" s="87" t="s">
        <v>56</v>
      </c>
      <c r="B61" s="89" t="s">
        <v>170</v>
      </c>
      <c r="C61" s="89" t="s">
        <v>82</v>
      </c>
      <c r="D61" s="89" t="s">
        <v>175</v>
      </c>
      <c r="E61" s="27" t="s">
        <v>57</v>
      </c>
      <c r="F61" s="27"/>
      <c r="G61" s="100">
        <v>84</v>
      </c>
      <c r="H61" s="100"/>
      <c r="I61" s="209"/>
      <c r="J61" s="209"/>
      <c r="K61" s="209"/>
      <c r="L61" s="209"/>
      <c r="M61" s="209"/>
    </row>
    <row r="62" spans="1:13" s="31" customFormat="1" ht="25.5" customHeight="1" hidden="1">
      <c r="A62" s="7" t="s">
        <v>58</v>
      </c>
      <c r="B62" s="91"/>
      <c r="C62" s="91"/>
      <c r="D62" s="91"/>
      <c r="E62" s="20"/>
      <c r="F62" s="20" t="s">
        <v>195</v>
      </c>
      <c r="G62" s="100">
        <v>324.5</v>
      </c>
      <c r="H62" s="100"/>
      <c r="I62" s="210"/>
      <c r="J62" s="210"/>
      <c r="K62" s="210"/>
      <c r="L62" s="210"/>
      <c r="M62" s="210"/>
    </row>
    <row r="63" spans="1:13" s="31" customFormat="1" ht="12.75" customHeight="1" hidden="1">
      <c r="A63" s="7" t="s">
        <v>59</v>
      </c>
      <c r="B63" s="91"/>
      <c r="C63" s="91"/>
      <c r="D63" s="91"/>
      <c r="E63" s="20"/>
      <c r="F63" s="20" t="s">
        <v>196</v>
      </c>
      <c r="G63" s="193">
        <f>SUM(G64:G67)</f>
        <v>1569.4</v>
      </c>
      <c r="H63" s="193">
        <f>H65</f>
        <v>0</v>
      </c>
      <c r="I63" s="210"/>
      <c r="J63" s="210"/>
      <c r="K63" s="210"/>
      <c r="L63" s="210"/>
      <c r="M63" s="210"/>
    </row>
    <row r="64" spans="1:13" s="31" customFormat="1" ht="12.75" customHeight="1" hidden="1">
      <c r="A64" s="7" t="s">
        <v>60</v>
      </c>
      <c r="B64" s="91"/>
      <c r="C64" s="91"/>
      <c r="D64" s="91"/>
      <c r="E64" s="20"/>
      <c r="F64" s="20" t="s">
        <v>197</v>
      </c>
      <c r="G64" s="100">
        <f>SUM(H64:H64)</f>
        <v>0</v>
      </c>
      <c r="H64" s="100"/>
      <c r="I64" s="210"/>
      <c r="J64" s="210"/>
      <c r="K64" s="210"/>
      <c r="L64" s="210"/>
      <c r="M64" s="210"/>
    </row>
    <row r="65" spans="1:13" s="31" customFormat="1" ht="38.25" customHeight="1" hidden="1">
      <c r="A65" s="7" t="s">
        <v>61</v>
      </c>
      <c r="B65" s="91"/>
      <c r="C65" s="91"/>
      <c r="D65" s="91"/>
      <c r="E65" s="20"/>
      <c r="F65" s="20" t="s">
        <v>198</v>
      </c>
      <c r="G65" s="100"/>
      <c r="H65" s="100"/>
      <c r="I65" s="210"/>
      <c r="J65" s="210"/>
      <c r="K65" s="210"/>
      <c r="L65" s="210"/>
      <c r="M65" s="210"/>
    </row>
    <row r="66" spans="1:13" s="15" customFormat="1" ht="15" customHeight="1" hidden="1">
      <c r="A66" s="49" t="s">
        <v>176</v>
      </c>
      <c r="B66" s="48" t="s">
        <v>170</v>
      </c>
      <c r="C66" s="48" t="s">
        <v>82</v>
      </c>
      <c r="D66" s="48" t="s">
        <v>175</v>
      </c>
      <c r="E66" s="48" t="s">
        <v>2</v>
      </c>
      <c r="F66" s="48"/>
      <c r="G66" s="100">
        <v>1569.4</v>
      </c>
      <c r="H66" s="100"/>
      <c r="I66" s="211"/>
      <c r="J66" s="211"/>
      <c r="K66" s="211"/>
      <c r="L66" s="211"/>
      <c r="M66" s="211"/>
    </row>
    <row r="67" spans="1:13" s="45" customFormat="1" ht="13.5" customHeight="1" hidden="1">
      <c r="A67" s="43" t="s">
        <v>4</v>
      </c>
      <c r="B67" s="44" t="s">
        <v>170</v>
      </c>
      <c r="C67" s="44" t="s">
        <v>182</v>
      </c>
      <c r="D67" s="44" t="s">
        <v>175</v>
      </c>
      <c r="E67" s="44" t="s">
        <v>5</v>
      </c>
      <c r="F67" s="44"/>
      <c r="G67" s="100"/>
      <c r="H67" s="100"/>
      <c r="I67" s="197"/>
      <c r="J67" s="197"/>
      <c r="K67" s="197"/>
      <c r="L67" s="197"/>
      <c r="M67" s="197"/>
    </row>
    <row r="68" spans="1:13" s="28" customFormat="1" ht="12.75" hidden="1">
      <c r="A68" s="87" t="s">
        <v>6</v>
      </c>
      <c r="B68" s="27" t="s">
        <v>170</v>
      </c>
      <c r="C68" s="27" t="s">
        <v>182</v>
      </c>
      <c r="D68" s="27" t="s">
        <v>175</v>
      </c>
      <c r="E68" s="27" t="s">
        <v>7</v>
      </c>
      <c r="F68" s="27"/>
      <c r="G68" s="201"/>
      <c r="H68" s="201"/>
      <c r="I68" s="201"/>
      <c r="J68" s="201"/>
      <c r="K68" s="201"/>
      <c r="L68" s="201"/>
      <c r="M68" s="201"/>
    </row>
    <row r="69" spans="1:13" s="28" customFormat="1" ht="12.75" hidden="1">
      <c r="A69" s="87" t="s">
        <v>8</v>
      </c>
      <c r="B69" s="27" t="s">
        <v>170</v>
      </c>
      <c r="C69" s="27" t="s">
        <v>182</v>
      </c>
      <c r="D69" s="27" t="s">
        <v>175</v>
      </c>
      <c r="E69" s="27" t="s">
        <v>9</v>
      </c>
      <c r="F69" s="27"/>
      <c r="G69" s="201"/>
      <c r="H69" s="201"/>
      <c r="I69" s="201"/>
      <c r="J69" s="201"/>
      <c r="K69" s="201"/>
      <c r="L69" s="201"/>
      <c r="M69" s="201"/>
    </row>
    <row r="70" spans="1:13" ht="25.5" hidden="1">
      <c r="A70" s="11" t="s">
        <v>10</v>
      </c>
      <c r="B70" s="4"/>
      <c r="C70" s="4"/>
      <c r="D70" s="4"/>
      <c r="E70" s="4"/>
      <c r="F70" s="4" t="s">
        <v>183</v>
      </c>
      <c r="G70" s="200"/>
      <c r="H70" s="200"/>
      <c r="I70" s="200"/>
      <c r="J70" s="200"/>
      <c r="K70" s="200"/>
      <c r="L70" s="200"/>
      <c r="M70" s="200"/>
    </row>
    <row r="71" spans="1:13" ht="12.75" customHeight="1" hidden="1">
      <c r="A71" s="12" t="s">
        <v>11</v>
      </c>
      <c r="B71" s="4"/>
      <c r="C71" s="4"/>
      <c r="D71" s="4"/>
      <c r="E71" s="4"/>
      <c r="F71" s="4" t="s">
        <v>200</v>
      </c>
      <c r="G71" s="200"/>
      <c r="H71" s="200"/>
      <c r="I71" s="200"/>
      <c r="J71" s="200"/>
      <c r="K71" s="200"/>
      <c r="L71" s="200"/>
      <c r="M71" s="200"/>
    </row>
    <row r="72" spans="1:13" ht="26.25" customHeight="1" hidden="1">
      <c r="A72" s="6" t="s">
        <v>12</v>
      </c>
      <c r="B72" s="4"/>
      <c r="C72" s="4"/>
      <c r="D72" s="4"/>
      <c r="E72" s="4"/>
      <c r="F72" s="4" t="s">
        <v>184</v>
      </c>
      <c r="G72" s="200"/>
      <c r="H72" s="200"/>
      <c r="I72" s="200"/>
      <c r="J72" s="200"/>
      <c r="K72" s="200"/>
      <c r="L72" s="200"/>
      <c r="M72" s="200"/>
    </row>
    <row r="73" spans="1:13" s="28" customFormat="1" ht="12.75" hidden="1">
      <c r="A73" s="87" t="s">
        <v>13</v>
      </c>
      <c r="B73" s="27" t="s">
        <v>170</v>
      </c>
      <c r="C73" s="27" t="s">
        <v>182</v>
      </c>
      <c r="D73" s="27" t="s">
        <v>175</v>
      </c>
      <c r="E73" s="27" t="s">
        <v>14</v>
      </c>
      <c r="F73" s="27"/>
      <c r="G73" s="201"/>
      <c r="H73" s="201"/>
      <c r="I73" s="201"/>
      <c r="J73" s="201"/>
      <c r="K73" s="201"/>
      <c r="L73" s="201"/>
      <c r="M73" s="201"/>
    </row>
    <row r="74" spans="1:13" s="45" customFormat="1" ht="12.75" hidden="1">
      <c r="A74" s="43" t="s">
        <v>15</v>
      </c>
      <c r="B74" s="44" t="s">
        <v>170</v>
      </c>
      <c r="C74" s="44" t="s">
        <v>182</v>
      </c>
      <c r="D74" s="44" t="s">
        <v>175</v>
      </c>
      <c r="E74" s="44" t="s">
        <v>16</v>
      </c>
      <c r="F74" s="44"/>
      <c r="G74" s="197"/>
      <c r="H74" s="197"/>
      <c r="I74" s="197"/>
      <c r="J74" s="197"/>
      <c r="K74" s="197"/>
      <c r="L74" s="197"/>
      <c r="M74" s="197"/>
    </row>
    <row r="75" spans="1:13" s="28" customFormat="1" ht="12.75" hidden="1">
      <c r="A75" s="87" t="s">
        <v>17</v>
      </c>
      <c r="B75" s="27" t="s">
        <v>170</v>
      </c>
      <c r="C75" s="27" t="s">
        <v>182</v>
      </c>
      <c r="D75" s="27" t="s">
        <v>175</v>
      </c>
      <c r="E75" s="27" t="s">
        <v>18</v>
      </c>
      <c r="F75" s="27"/>
      <c r="G75" s="201"/>
      <c r="H75" s="201"/>
      <c r="I75" s="201"/>
      <c r="J75" s="201"/>
      <c r="K75" s="201"/>
      <c r="L75" s="201"/>
      <c r="M75" s="201"/>
    </row>
    <row r="76" spans="1:13" s="28" customFormat="1" ht="12.75" hidden="1">
      <c r="A76" s="87" t="s">
        <v>21</v>
      </c>
      <c r="B76" s="27" t="s">
        <v>170</v>
      </c>
      <c r="C76" s="27" t="s">
        <v>182</v>
      </c>
      <c r="D76" s="27" t="s">
        <v>175</v>
      </c>
      <c r="E76" s="27" t="s">
        <v>19</v>
      </c>
      <c r="F76" s="27"/>
      <c r="G76" s="201"/>
      <c r="H76" s="201"/>
      <c r="I76" s="201"/>
      <c r="J76" s="201"/>
      <c r="K76" s="201"/>
      <c r="L76" s="201"/>
      <c r="M76" s="201"/>
    </row>
    <row r="77" spans="1:13" ht="25.5" hidden="1">
      <c r="A77" s="11" t="s">
        <v>20</v>
      </c>
      <c r="B77" s="4"/>
      <c r="C77" s="4"/>
      <c r="D77" s="4"/>
      <c r="E77" s="4"/>
      <c r="F77" s="4" t="s">
        <v>183</v>
      </c>
      <c r="G77" s="200"/>
      <c r="H77" s="200"/>
      <c r="I77" s="200"/>
      <c r="J77" s="200"/>
      <c r="K77" s="200"/>
      <c r="L77" s="200"/>
      <c r="M77" s="200"/>
    </row>
    <row r="78" spans="1:13" ht="38.25" hidden="1">
      <c r="A78" s="8" t="s">
        <v>22</v>
      </c>
      <c r="B78" s="4"/>
      <c r="C78" s="4"/>
      <c r="D78" s="4"/>
      <c r="E78" s="4"/>
      <c r="F78" s="4" t="s">
        <v>185</v>
      </c>
      <c r="G78" s="200"/>
      <c r="H78" s="200"/>
      <c r="I78" s="200"/>
      <c r="J78" s="200"/>
      <c r="K78" s="200"/>
      <c r="L78" s="200"/>
      <c r="M78" s="200"/>
    </row>
    <row r="79" spans="1:13" s="28" customFormat="1" ht="12.75" hidden="1">
      <c r="A79" s="87" t="s">
        <v>23</v>
      </c>
      <c r="B79" s="27" t="s">
        <v>170</v>
      </c>
      <c r="C79" s="27" t="s">
        <v>182</v>
      </c>
      <c r="D79" s="27" t="s">
        <v>175</v>
      </c>
      <c r="E79" s="27" t="s">
        <v>24</v>
      </c>
      <c r="F79" s="27"/>
      <c r="G79" s="201"/>
      <c r="H79" s="201"/>
      <c r="I79" s="201"/>
      <c r="J79" s="201"/>
      <c r="K79" s="201"/>
      <c r="L79" s="201"/>
      <c r="M79" s="201"/>
    </row>
    <row r="80" spans="1:13" ht="12.75" customHeight="1" hidden="1">
      <c r="A80" s="7" t="s">
        <v>25</v>
      </c>
      <c r="B80" s="4"/>
      <c r="C80" s="4"/>
      <c r="D80" s="4"/>
      <c r="E80" s="4"/>
      <c r="F80" s="4" t="s">
        <v>186</v>
      </c>
      <c r="G80" s="200"/>
      <c r="H80" s="200"/>
      <c r="I80" s="200"/>
      <c r="J80" s="200"/>
      <c r="K80" s="200"/>
      <c r="L80" s="200"/>
      <c r="M80" s="200"/>
    </row>
    <row r="81" spans="1:13" ht="12.75" customHeight="1" hidden="1">
      <c r="A81" s="7" t="s">
        <v>26</v>
      </c>
      <c r="B81" s="4"/>
      <c r="C81" s="4"/>
      <c r="D81" s="4"/>
      <c r="E81" s="4"/>
      <c r="F81" s="4" t="s">
        <v>187</v>
      </c>
      <c r="G81" s="200"/>
      <c r="H81" s="200"/>
      <c r="I81" s="200"/>
      <c r="J81" s="200"/>
      <c r="K81" s="200"/>
      <c r="L81" s="200"/>
      <c r="M81" s="200"/>
    </row>
    <row r="82" spans="1:13" ht="12.75" hidden="1">
      <c r="A82" s="7" t="s">
        <v>27</v>
      </c>
      <c r="B82" s="4"/>
      <c r="C82" s="4"/>
      <c r="D82" s="4"/>
      <c r="E82" s="4"/>
      <c r="F82" s="4" t="s">
        <v>188</v>
      </c>
      <c r="G82" s="200"/>
      <c r="H82" s="200"/>
      <c r="I82" s="200"/>
      <c r="J82" s="200"/>
      <c r="K82" s="200"/>
      <c r="L82" s="200"/>
      <c r="M82" s="200"/>
    </row>
    <row r="83" spans="1:13" s="28" customFormat="1" ht="15" customHeight="1" hidden="1">
      <c r="A83" s="87" t="s">
        <v>28</v>
      </c>
      <c r="B83" s="27" t="s">
        <v>170</v>
      </c>
      <c r="C83" s="27" t="s">
        <v>182</v>
      </c>
      <c r="D83" s="27" t="s">
        <v>175</v>
      </c>
      <c r="E83" s="27" t="s">
        <v>29</v>
      </c>
      <c r="F83" s="27"/>
      <c r="G83" s="201"/>
      <c r="H83" s="201"/>
      <c r="I83" s="201"/>
      <c r="J83" s="201"/>
      <c r="K83" s="201"/>
      <c r="L83" s="201"/>
      <c r="M83" s="201"/>
    </row>
    <row r="84" spans="1:13" s="28" customFormat="1" ht="12.75" hidden="1">
      <c r="A84" s="87" t="s">
        <v>30</v>
      </c>
      <c r="B84" s="27" t="s">
        <v>170</v>
      </c>
      <c r="C84" s="27" t="s">
        <v>182</v>
      </c>
      <c r="D84" s="27" t="s">
        <v>175</v>
      </c>
      <c r="E84" s="27" t="s">
        <v>31</v>
      </c>
      <c r="F84" s="27"/>
      <c r="G84" s="201"/>
      <c r="H84" s="201"/>
      <c r="I84" s="201"/>
      <c r="J84" s="201"/>
      <c r="K84" s="201"/>
      <c r="L84" s="201"/>
      <c r="M84" s="201"/>
    </row>
    <row r="85" spans="1:13" s="30" customFormat="1" ht="12.75" hidden="1">
      <c r="A85" s="7" t="s">
        <v>32</v>
      </c>
      <c r="B85" s="29"/>
      <c r="C85" s="29"/>
      <c r="D85" s="29"/>
      <c r="E85" s="29"/>
      <c r="F85" s="17" t="s">
        <v>189</v>
      </c>
      <c r="G85" s="212"/>
      <c r="H85" s="212"/>
      <c r="I85" s="212"/>
      <c r="J85" s="212"/>
      <c r="K85" s="212"/>
      <c r="L85" s="212"/>
      <c r="M85" s="212"/>
    </row>
    <row r="86" spans="1:13" s="18" customFormat="1" ht="12.75" hidden="1">
      <c r="A86" s="7" t="s">
        <v>33</v>
      </c>
      <c r="B86" s="17"/>
      <c r="C86" s="17"/>
      <c r="D86" s="17"/>
      <c r="E86" s="17"/>
      <c r="F86" s="17" t="s">
        <v>191</v>
      </c>
      <c r="G86" s="186"/>
      <c r="H86" s="186"/>
      <c r="I86" s="186"/>
      <c r="J86" s="186"/>
      <c r="K86" s="186"/>
      <c r="L86" s="186"/>
      <c r="M86" s="186"/>
    </row>
    <row r="87" spans="1:13" s="18" customFormat="1" ht="25.5" hidden="1">
      <c r="A87" s="7" t="s">
        <v>34</v>
      </c>
      <c r="B87" s="17"/>
      <c r="C87" s="17"/>
      <c r="D87" s="17"/>
      <c r="E87" s="17"/>
      <c r="F87" s="17" t="s">
        <v>221</v>
      </c>
      <c r="G87" s="186"/>
      <c r="H87" s="186"/>
      <c r="I87" s="186"/>
      <c r="J87" s="186"/>
      <c r="K87" s="186"/>
      <c r="L87" s="186"/>
      <c r="M87" s="186"/>
    </row>
    <row r="88" spans="1:13" s="18" customFormat="1" ht="25.5" hidden="1">
      <c r="A88" s="7" t="s">
        <v>35</v>
      </c>
      <c r="B88" s="17"/>
      <c r="C88" s="17"/>
      <c r="D88" s="17"/>
      <c r="E88" s="17"/>
      <c r="F88" s="17" t="s">
        <v>190</v>
      </c>
      <c r="G88" s="186"/>
      <c r="H88" s="186"/>
      <c r="I88" s="186"/>
      <c r="J88" s="186"/>
      <c r="K88" s="186"/>
      <c r="L88" s="186"/>
      <c r="M88" s="186"/>
    </row>
    <row r="89" spans="1:13" s="18" customFormat="1" ht="51" hidden="1">
      <c r="A89" s="7" t="s">
        <v>36</v>
      </c>
      <c r="B89" s="17"/>
      <c r="C89" s="17"/>
      <c r="D89" s="17"/>
      <c r="E89" s="17"/>
      <c r="F89" s="17" t="s">
        <v>224</v>
      </c>
      <c r="G89" s="186"/>
      <c r="H89" s="186"/>
      <c r="I89" s="186"/>
      <c r="J89" s="186"/>
      <c r="K89" s="186"/>
      <c r="L89" s="186"/>
      <c r="M89" s="186"/>
    </row>
    <row r="90" spans="1:13" s="28" customFormat="1" ht="12.75" hidden="1">
      <c r="A90" s="87" t="s">
        <v>37</v>
      </c>
      <c r="B90" s="27" t="s">
        <v>170</v>
      </c>
      <c r="C90" s="27" t="s">
        <v>182</v>
      </c>
      <c r="D90" s="27" t="s">
        <v>175</v>
      </c>
      <c r="E90" s="27" t="s">
        <v>38</v>
      </c>
      <c r="F90" s="27"/>
      <c r="G90" s="201"/>
      <c r="H90" s="201"/>
      <c r="I90" s="201"/>
      <c r="J90" s="201"/>
      <c r="K90" s="201"/>
      <c r="L90" s="201"/>
      <c r="M90" s="201"/>
    </row>
    <row r="91" spans="1:13" s="21" customFormat="1" ht="38.25" hidden="1">
      <c r="A91" s="11" t="s">
        <v>39</v>
      </c>
      <c r="B91" s="20"/>
      <c r="C91" s="20"/>
      <c r="D91" s="20"/>
      <c r="E91" s="20"/>
      <c r="F91" s="20" t="s">
        <v>183</v>
      </c>
      <c r="G91" s="214"/>
      <c r="H91" s="214"/>
      <c r="I91" s="214"/>
      <c r="J91" s="214"/>
      <c r="K91" s="214"/>
      <c r="L91" s="214"/>
      <c r="M91" s="214"/>
    </row>
    <row r="92" spans="1:13" s="21" customFormat="1" ht="38.25" hidden="1">
      <c r="A92" s="19" t="s">
        <v>40</v>
      </c>
      <c r="B92" s="20"/>
      <c r="C92" s="20"/>
      <c r="D92" s="20"/>
      <c r="E92" s="20"/>
      <c r="F92" s="20" t="s">
        <v>222</v>
      </c>
      <c r="G92" s="214"/>
      <c r="H92" s="214"/>
      <c r="I92" s="214"/>
      <c r="J92" s="214"/>
      <c r="K92" s="214"/>
      <c r="L92" s="214"/>
      <c r="M92" s="214"/>
    </row>
    <row r="93" spans="1:13" s="21" customFormat="1" ht="25.5" customHeight="1" hidden="1">
      <c r="A93" s="12" t="s">
        <v>41</v>
      </c>
      <c r="B93" s="20"/>
      <c r="C93" s="20"/>
      <c r="D93" s="20"/>
      <c r="E93" s="20"/>
      <c r="F93" s="20" t="s">
        <v>192</v>
      </c>
      <c r="G93" s="214"/>
      <c r="H93" s="214"/>
      <c r="I93" s="214"/>
      <c r="J93" s="214"/>
      <c r="K93" s="214"/>
      <c r="L93" s="214"/>
      <c r="M93" s="214"/>
    </row>
    <row r="94" spans="1:13" s="45" customFormat="1" ht="12.75" hidden="1">
      <c r="A94" s="43" t="s">
        <v>42</v>
      </c>
      <c r="B94" s="44" t="s">
        <v>170</v>
      </c>
      <c r="C94" s="44" t="s">
        <v>182</v>
      </c>
      <c r="D94" s="44" t="s">
        <v>175</v>
      </c>
      <c r="E94" s="44" t="s">
        <v>43</v>
      </c>
      <c r="F94" s="44"/>
      <c r="G94" s="197"/>
      <c r="H94" s="197"/>
      <c r="I94" s="197"/>
      <c r="J94" s="197"/>
      <c r="K94" s="197"/>
      <c r="L94" s="197"/>
      <c r="M94" s="197"/>
    </row>
    <row r="95" spans="1:13" s="28" customFormat="1" ht="12.75" hidden="1">
      <c r="A95" s="87" t="s">
        <v>44</v>
      </c>
      <c r="B95" s="27" t="s">
        <v>170</v>
      </c>
      <c r="C95" s="27" t="s">
        <v>182</v>
      </c>
      <c r="D95" s="27" t="s">
        <v>175</v>
      </c>
      <c r="E95" s="27" t="s">
        <v>45</v>
      </c>
      <c r="F95" s="27"/>
      <c r="G95" s="201"/>
      <c r="H95" s="201"/>
      <c r="I95" s="201"/>
      <c r="J95" s="201"/>
      <c r="K95" s="201"/>
      <c r="L95" s="201"/>
      <c r="M95" s="201"/>
    </row>
    <row r="96" spans="1:13" s="21" customFormat="1" ht="12.75" hidden="1">
      <c r="A96" s="6" t="s">
        <v>46</v>
      </c>
      <c r="B96" s="20"/>
      <c r="C96" s="20"/>
      <c r="D96" s="20"/>
      <c r="E96" s="20"/>
      <c r="F96" s="20"/>
      <c r="G96" s="214"/>
      <c r="H96" s="214"/>
      <c r="I96" s="214"/>
      <c r="J96" s="214"/>
      <c r="K96" s="214"/>
      <c r="L96" s="214"/>
      <c r="M96" s="214"/>
    </row>
    <row r="97" spans="1:13" s="45" customFormat="1" ht="12.75" hidden="1">
      <c r="A97" s="43" t="s">
        <v>47</v>
      </c>
      <c r="B97" s="44" t="s">
        <v>170</v>
      </c>
      <c r="C97" s="44" t="s">
        <v>182</v>
      </c>
      <c r="D97" s="44" t="s">
        <v>175</v>
      </c>
      <c r="E97" s="44" t="s">
        <v>48</v>
      </c>
      <c r="F97" s="44"/>
      <c r="G97" s="197"/>
      <c r="H97" s="197"/>
      <c r="I97" s="197"/>
      <c r="J97" s="197"/>
      <c r="K97" s="197"/>
      <c r="L97" s="197"/>
      <c r="M97" s="197"/>
    </row>
    <row r="98" spans="1:13" s="21" customFormat="1" ht="27.75" customHeight="1" hidden="1">
      <c r="A98" s="12" t="s">
        <v>41</v>
      </c>
      <c r="B98" s="20"/>
      <c r="C98" s="20"/>
      <c r="D98" s="20"/>
      <c r="E98" s="20"/>
      <c r="F98" s="20"/>
      <c r="G98" s="214"/>
      <c r="H98" s="214"/>
      <c r="I98" s="214"/>
      <c r="J98" s="214"/>
      <c r="K98" s="214"/>
      <c r="L98" s="214"/>
      <c r="M98" s="214"/>
    </row>
    <row r="99" spans="1:13" s="45" customFormat="1" ht="12.75" hidden="1">
      <c r="A99" s="43" t="s">
        <v>49</v>
      </c>
      <c r="B99" s="44" t="s">
        <v>170</v>
      </c>
      <c r="C99" s="44" t="s">
        <v>182</v>
      </c>
      <c r="D99" s="44" t="s">
        <v>175</v>
      </c>
      <c r="E99" s="44" t="s">
        <v>50</v>
      </c>
      <c r="F99" s="44"/>
      <c r="G99" s="197"/>
      <c r="H99" s="197"/>
      <c r="I99" s="197"/>
      <c r="J99" s="197"/>
      <c r="K99" s="197"/>
      <c r="L99" s="197"/>
      <c r="M99" s="197"/>
    </row>
    <row r="100" spans="1:13" s="28" customFormat="1" ht="12.75" hidden="1">
      <c r="A100" s="87" t="s">
        <v>51</v>
      </c>
      <c r="B100" s="27" t="s">
        <v>170</v>
      </c>
      <c r="C100" s="27" t="s">
        <v>182</v>
      </c>
      <c r="D100" s="27" t="s">
        <v>175</v>
      </c>
      <c r="E100" s="27" t="s">
        <v>52</v>
      </c>
      <c r="F100" s="27"/>
      <c r="G100" s="201"/>
      <c r="H100" s="201"/>
      <c r="I100" s="201"/>
      <c r="J100" s="201"/>
      <c r="K100" s="201"/>
      <c r="L100" s="201"/>
      <c r="M100" s="201"/>
    </row>
    <row r="101" spans="1:13" s="21" customFormat="1" ht="12.75" hidden="1">
      <c r="A101" s="7" t="s">
        <v>53</v>
      </c>
      <c r="B101" s="20"/>
      <c r="C101" s="20"/>
      <c r="D101" s="20"/>
      <c r="E101" s="20"/>
      <c r="F101" s="20" t="s">
        <v>223</v>
      </c>
      <c r="G101" s="214"/>
      <c r="H101" s="214"/>
      <c r="I101" s="214"/>
      <c r="J101" s="214"/>
      <c r="K101" s="214"/>
      <c r="L101" s="214"/>
      <c r="M101" s="214"/>
    </row>
    <row r="102" spans="1:13" s="21" customFormat="1" ht="38.25" customHeight="1" hidden="1">
      <c r="A102" s="7" t="s">
        <v>54</v>
      </c>
      <c r="B102" s="20"/>
      <c r="C102" s="20"/>
      <c r="D102" s="20"/>
      <c r="E102" s="20"/>
      <c r="F102" s="20" t="s">
        <v>194</v>
      </c>
      <c r="G102" s="214"/>
      <c r="H102" s="214"/>
      <c r="I102" s="214"/>
      <c r="J102" s="214"/>
      <c r="K102" s="214"/>
      <c r="L102" s="214"/>
      <c r="M102" s="214"/>
    </row>
    <row r="103" spans="1:13" s="21" customFormat="1" ht="52.5" customHeight="1" hidden="1">
      <c r="A103" s="7" t="s">
        <v>55</v>
      </c>
      <c r="B103" s="20"/>
      <c r="C103" s="20"/>
      <c r="D103" s="20"/>
      <c r="E103" s="20"/>
      <c r="F103" s="20" t="s">
        <v>193</v>
      </c>
      <c r="G103" s="214"/>
      <c r="H103" s="214"/>
      <c r="I103" s="214"/>
      <c r="J103" s="214"/>
      <c r="K103" s="214"/>
      <c r="L103" s="214"/>
      <c r="M103" s="214"/>
    </row>
    <row r="104" spans="1:13" s="28" customFormat="1" ht="14.25" customHeight="1" hidden="1">
      <c r="A104" s="87" t="s">
        <v>56</v>
      </c>
      <c r="B104" s="27" t="s">
        <v>170</v>
      </c>
      <c r="C104" s="27" t="s">
        <v>182</v>
      </c>
      <c r="D104" s="27" t="s">
        <v>175</v>
      </c>
      <c r="E104" s="27" t="s">
        <v>57</v>
      </c>
      <c r="F104" s="27"/>
      <c r="G104" s="201"/>
      <c r="H104" s="201"/>
      <c r="I104" s="201"/>
      <c r="J104" s="201"/>
      <c r="K104" s="201"/>
      <c r="L104" s="201"/>
      <c r="M104" s="201"/>
    </row>
    <row r="105" spans="1:13" s="21" customFormat="1" ht="25.5" hidden="1">
      <c r="A105" s="7" t="s">
        <v>58</v>
      </c>
      <c r="B105" s="20"/>
      <c r="C105" s="20"/>
      <c r="D105" s="20"/>
      <c r="E105" s="20"/>
      <c r="F105" s="20" t="s">
        <v>195</v>
      </c>
      <c r="G105" s="214"/>
      <c r="H105" s="214"/>
      <c r="I105" s="214"/>
      <c r="J105" s="214"/>
      <c r="K105" s="214"/>
      <c r="L105" s="214"/>
      <c r="M105" s="214"/>
    </row>
    <row r="106" spans="1:13" s="21" customFormat="1" ht="12.75" hidden="1">
      <c r="A106" s="7" t="s">
        <v>59</v>
      </c>
      <c r="B106" s="20"/>
      <c r="C106" s="20"/>
      <c r="D106" s="20"/>
      <c r="E106" s="20"/>
      <c r="F106" s="20" t="s">
        <v>196</v>
      </c>
      <c r="G106" s="214"/>
      <c r="H106" s="214"/>
      <c r="I106" s="214"/>
      <c r="J106" s="214"/>
      <c r="K106" s="214"/>
      <c r="L106" s="214"/>
      <c r="M106" s="214"/>
    </row>
    <row r="107" spans="1:13" s="21" customFormat="1" ht="12.75" hidden="1">
      <c r="A107" s="7" t="s">
        <v>60</v>
      </c>
      <c r="B107" s="20"/>
      <c r="C107" s="20"/>
      <c r="D107" s="20"/>
      <c r="E107" s="20"/>
      <c r="F107" s="20" t="s">
        <v>197</v>
      </c>
      <c r="G107" s="214"/>
      <c r="H107" s="214"/>
      <c r="I107" s="214"/>
      <c r="J107" s="214"/>
      <c r="K107" s="214"/>
      <c r="L107" s="214"/>
      <c r="M107" s="214"/>
    </row>
    <row r="108" spans="1:13" s="21" customFormat="1" ht="39" customHeight="1" hidden="1">
      <c r="A108" s="7" t="s">
        <v>61</v>
      </c>
      <c r="B108" s="20"/>
      <c r="C108" s="20"/>
      <c r="D108" s="20"/>
      <c r="E108" s="20"/>
      <c r="F108" s="20" t="s">
        <v>198</v>
      </c>
      <c r="G108" s="214"/>
      <c r="H108" s="214"/>
      <c r="I108" s="214"/>
      <c r="J108" s="214"/>
      <c r="K108" s="214"/>
      <c r="L108" s="214"/>
      <c r="M108" s="214"/>
    </row>
    <row r="109" spans="1:13" s="21" customFormat="1" ht="54.75" customHeight="1" hidden="1">
      <c r="A109" s="47" t="s">
        <v>181</v>
      </c>
      <c r="B109" s="48" t="s">
        <v>145</v>
      </c>
      <c r="C109" s="48" t="s">
        <v>82</v>
      </c>
      <c r="D109" s="48" t="s">
        <v>2</v>
      </c>
      <c r="E109" s="48" t="s">
        <v>2</v>
      </c>
      <c r="F109" s="48"/>
      <c r="G109" s="214"/>
      <c r="H109" s="214"/>
      <c r="I109" s="214"/>
      <c r="J109" s="214"/>
      <c r="K109" s="214"/>
      <c r="L109" s="214"/>
      <c r="M109" s="214"/>
    </row>
    <row r="110" spans="1:13" s="15" customFormat="1" ht="27" customHeight="1" hidden="1">
      <c r="A110" s="79" t="s">
        <v>171</v>
      </c>
      <c r="B110" s="80" t="s">
        <v>145</v>
      </c>
      <c r="C110" s="80" t="s">
        <v>82</v>
      </c>
      <c r="D110" s="80" t="s">
        <v>2</v>
      </c>
      <c r="E110" s="80" t="s">
        <v>2</v>
      </c>
      <c r="F110" s="48"/>
      <c r="G110" s="211"/>
      <c r="H110" s="211"/>
      <c r="I110" s="211"/>
      <c r="J110" s="211"/>
      <c r="K110" s="211"/>
      <c r="L110" s="211"/>
      <c r="M110" s="211"/>
    </row>
    <row r="111" spans="1:13" s="45" customFormat="1" ht="27" customHeight="1" hidden="1">
      <c r="A111" s="81" t="s">
        <v>177</v>
      </c>
      <c r="B111" s="82" t="s">
        <v>145</v>
      </c>
      <c r="C111" s="82" t="s">
        <v>82</v>
      </c>
      <c r="D111" s="82" t="s">
        <v>178</v>
      </c>
      <c r="E111" s="82" t="s">
        <v>2</v>
      </c>
      <c r="F111" s="82"/>
      <c r="G111" s="197"/>
      <c r="H111" s="197"/>
      <c r="I111" s="197"/>
      <c r="J111" s="197"/>
      <c r="K111" s="197"/>
      <c r="L111" s="197"/>
      <c r="M111" s="197"/>
    </row>
    <row r="112" spans="1:13" s="72" customFormat="1" ht="12.75" customHeight="1" hidden="1">
      <c r="A112" s="10" t="s">
        <v>4</v>
      </c>
      <c r="B112" s="14" t="s">
        <v>145</v>
      </c>
      <c r="C112" s="14" t="s">
        <v>82</v>
      </c>
      <c r="D112" s="14" t="s">
        <v>178</v>
      </c>
      <c r="E112" s="14" t="s">
        <v>5</v>
      </c>
      <c r="F112" s="70"/>
      <c r="G112" s="207"/>
      <c r="H112" s="207"/>
      <c r="I112" s="207"/>
      <c r="J112" s="207"/>
      <c r="K112" s="207"/>
      <c r="L112" s="207"/>
      <c r="M112" s="207"/>
    </row>
    <row r="113" spans="1:13" s="28" customFormat="1" ht="12.75" hidden="1">
      <c r="A113" s="87" t="s">
        <v>6</v>
      </c>
      <c r="B113" s="27" t="s">
        <v>145</v>
      </c>
      <c r="C113" s="27" t="s">
        <v>82</v>
      </c>
      <c r="D113" s="27" t="s">
        <v>178</v>
      </c>
      <c r="E113" s="27" t="s">
        <v>7</v>
      </c>
      <c r="F113" s="27"/>
      <c r="G113" s="201"/>
      <c r="H113" s="201"/>
      <c r="I113" s="201"/>
      <c r="J113" s="201"/>
      <c r="K113" s="201"/>
      <c r="L113" s="201"/>
      <c r="M113" s="201"/>
    </row>
    <row r="114" spans="1:13" s="28" customFormat="1" ht="12.75" hidden="1">
      <c r="A114" s="87" t="s">
        <v>13</v>
      </c>
      <c r="B114" s="27" t="s">
        <v>145</v>
      </c>
      <c r="C114" s="27" t="s">
        <v>82</v>
      </c>
      <c r="D114" s="27" t="s">
        <v>178</v>
      </c>
      <c r="E114" s="27" t="s">
        <v>14</v>
      </c>
      <c r="F114" s="27"/>
      <c r="G114" s="201"/>
      <c r="H114" s="201"/>
      <c r="I114" s="201"/>
      <c r="J114" s="201"/>
      <c r="K114" s="201"/>
      <c r="L114" s="201"/>
      <c r="M114" s="201"/>
    </row>
    <row r="115" spans="1:13" s="30" customFormat="1" ht="25.5" hidden="1">
      <c r="A115" s="81" t="s">
        <v>179</v>
      </c>
      <c r="B115" s="82" t="s">
        <v>145</v>
      </c>
      <c r="C115" s="82" t="s">
        <v>82</v>
      </c>
      <c r="D115" s="82" t="s">
        <v>180</v>
      </c>
      <c r="E115" s="82" t="s">
        <v>2</v>
      </c>
      <c r="F115" s="82"/>
      <c r="G115" s="212"/>
      <c r="H115" s="212"/>
      <c r="I115" s="212"/>
      <c r="J115" s="212"/>
      <c r="K115" s="212"/>
      <c r="L115" s="212"/>
      <c r="M115" s="212"/>
    </row>
    <row r="116" spans="1:13" s="84" customFormat="1" ht="12.75" customHeight="1" hidden="1">
      <c r="A116" s="10" t="s">
        <v>4</v>
      </c>
      <c r="B116" s="14" t="s">
        <v>145</v>
      </c>
      <c r="C116" s="14" t="s">
        <v>82</v>
      </c>
      <c r="D116" s="14" t="s">
        <v>180</v>
      </c>
      <c r="E116" s="14" t="s">
        <v>5</v>
      </c>
      <c r="F116" s="70"/>
      <c r="G116" s="216"/>
      <c r="H116" s="216"/>
      <c r="I116" s="216"/>
      <c r="J116" s="216"/>
      <c r="K116" s="216"/>
      <c r="L116" s="216"/>
      <c r="M116" s="216"/>
    </row>
    <row r="117" spans="1:13" s="92" customFormat="1" ht="12.75" hidden="1">
      <c r="A117" s="87" t="s">
        <v>6</v>
      </c>
      <c r="B117" s="27" t="s">
        <v>145</v>
      </c>
      <c r="C117" s="27" t="s">
        <v>82</v>
      </c>
      <c r="D117" s="27" t="s">
        <v>180</v>
      </c>
      <c r="E117" s="27" t="s">
        <v>7</v>
      </c>
      <c r="F117" s="88"/>
      <c r="G117" s="209"/>
      <c r="H117" s="209"/>
      <c r="I117" s="209"/>
      <c r="J117" s="209"/>
      <c r="K117" s="209"/>
      <c r="L117" s="209"/>
      <c r="M117" s="209"/>
    </row>
    <row r="118" spans="1:13" s="92" customFormat="1" ht="12.75" hidden="1">
      <c r="A118" s="87" t="s">
        <v>13</v>
      </c>
      <c r="B118" s="27" t="s">
        <v>145</v>
      </c>
      <c r="C118" s="27" t="s">
        <v>82</v>
      </c>
      <c r="D118" s="27" t="s">
        <v>180</v>
      </c>
      <c r="E118" s="27" t="s">
        <v>14</v>
      </c>
      <c r="F118" s="88"/>
      <c r="G118" s="209"/>
      <c r="H118" s="209"/>
      <c r="I118" s="209"/>
      <c r="J118" s="209"/>
      <c r="K118" s="209"/>
      <c r="L118" s="209"/>
      <c r="M118" s="209"/>
    </row>
    <row r="119" spans="1:13" s="84" customFormat="1" ht="12.75" hidden="1">
      <c r="A119" s="47" t="s">
        <v>174</v>
      </c>
      <c r="B119" s="48" t="s">
        <v>145</v>
      </c>
      <c r="C119" s="48" t="s">
        <v>82</v>
      </c>
      <c r="D119" s="48" t="s">
        <v>175</v>
      </c>
      <c r="E119" s="48" t="s">
        <v>2</v>
      </c>
      <c r="F119" s="82"/>
      <c r="G119" s="216"/>
      <c r="H119" s="216"/>
      <c r="I119" s="216"/>
      <c r="J119" s="216"/>
      <c r="K119" s="216"/>
      <c r="L119" s="216"/>
      <c r="M119" s="216"/>
    </row>
    <row r="120" spans="1:13" s="45" customFormat="1" ht="12.75" customHeight="1" hidden="1">
      <c r="A120" s="43" t="s">
        <v>4</v>
      </c>
      <c r="B120" s="14" t="s">
        <v>145</v>
      </c>
      <c r="C120" s="14" t="s">
        <v>82</v>
      </c>
      <c r="D120" s="14" t="s">
        <v>175</v>
      </c>
      <c r="E120" s="44" t="s">
        <v>5</v>
      </c>
      <c r="F120" s="44"/>
      <c r="G120" s="197"/>
      <c r="H120" s="197"/>
      <c r="I120" s="197"/>
      <c r="J120" s="197"/>
      <c r="K120" s="197"/>
      <c r="L120" s="197"/>
      <c r="M120" s="197"/>
    </row>
    <row r="121" spans="1:13" s="28" customFormat="1" ht="12.75" hidden="1">
      <c r="A121" s="87" t="s">
        <v>6</v>
      </c>
      <c r="B121" s="27" t="s">
        <v>145</v>
      </c>
      <c r="C121" s="27" t="s">
        <v>82</v>
      </c>
      <c r="D121" s="27" t="s">
        <v>175</v>
      </c>
      <c r="E121" s="27" t="s">
        <v>7</v>
      </c>
      <c r="F121" s="27"/>
      <c r="G121" s="201"/>
      <c r="H121" s="201"/>
      <c r="I121" s="201"/>
      <c r="J121" s="201"/>
      <c r="K121" s="201"/>
      <c r="L121" s="201"/>
      <c r="M121" s="201"/>
    </row>
    <row r="122" spans="1:13" s="28" customFormat="1" ht="12.75" hidden="1">
      <c r="A122" s="87" t="s">
        <v>8</v>
      </c>
      <c r="B122" s="27" t="s">
        <v>145</v>
      </c>
      <c r="C122" s="27" t="s">
        <v>82</v>
      </c>
      <c r="D122" s="27" t="s">
        <v>175</v>
      </c>
      <c r="E122" s="27" t="s">
        <v>9</v>
      </c>
      <c r="F122" s="27"/>
      <c r="G122" s="201"/>
      <c r="H122" s="201"/>
      <c r="I122" s="201"/>
      <c r="J122" s="201"/>
      <c r="K122" s="201"/>
      <c r="L122" s="201"/>
      <c r="M122" s="201"/>
    </row>
    <row r="123" spans="1:13" ht="25.5" hidden="1">
      <c r="A123" s="11" t="s">
        <v>10</v>
      </c>
      <c r="B123" s="4"/>
      <c r="C123" s="4"/>
      <c r="D123" s="4"/>
      <c r="E123" s="4"/>
      <c r="F123" s="4" t="s">
        <v>183</v>
      </c>
      <c r="G123" s="200"/>
      <c r="H123" s="200"/>
      <c r="I123" s="200"/>
      <c r="J123" s="200"/>
      <c r="K123" s="200"/>
      <c r="L123" s="200"/>
      <c r="M123" s="200"/>
    </row>
    <row r="124" spans="1:13" ht="12.75" customHeight="1" hidden="1">
      <c r="A124" s="12" t="s">
        <v>11</v>
      </c>
      <c r="B124" s="4"/>
      <c r="C124" s="4"/>
      <c r="D124" s="4"/>
      <c r="E124" s="4"/>
      <c r="F124" s="4" t="s">
        <v>200</v>
      </c>
      <c r="G124" s="200"/>
      <c r="H124" s="200"/>
      <c r="I124" s="200"/>
      <c r="J124" s="200"/>
      <c r="K124" s="200"/>
      <c r="L124" s="200"/>
      <c r="M124" s="200"/>
    </row>
    <row r="125" spans="1:13" ht="26.25" customHeight="1" hidden="1">
      <c r="A125" s="6" t="s">
        <v>12</v>
      </c>
      <c r="B125" s="4"/>
      <c r="C125" s="4"/>
      <c r="D125" s="4"/>
      <c r="E125" s="4"/>
      <c r="F125" s="4" t="s">
        <v>184</v>
      </c>
      <c r="G125" s="200"/>
      <c r="H125" s="200"/>
      <c r="I125" s="200"/>
      <c r="J125" s="200"/>
      <c r="K125" s="200"/>
      <c r="L125" s="200"/>
      <c r="M125" s="200"/>
    </row>
    <row r="126" spans="1:13" s="28" customFormat="1" ht="12.75" hidden="1">
      <c r="A126" s="87" t="s">
        <v>13</v>
      </c>
      <c r="B126" s="27" t="s">
        <v>145</v>
      </c>
      <c r="C126" s="27" t="s">
        <v>82</v>
      </c>
      <c r="D126" s="27" t="s">
        <v>175</v>
      </c>
      <c r="E126" s="27" t="s">
        <v>14</v>
      </c>
      <c r="F126" s="27"/>
      <c r="G126" s="201"/>
      <c r="H126" s="201"/>
      <c r="I126" s="201"/>
      <c r="J126" s="201"/>
      <c r="K126" s="201"/>
      <c r="L126" s="201"/>
      <c r="M126" s="201"/>
    </row>
    <row r="127" spans="1:13" s="45" customFormat="1" ht="12.75" hidden="1">
      <c r="A127" s="43" t="s">
        <v>15</v>
      </c>
      <c r="B127" s="44" t="s">
        <v>145</v>
      </c>
      <c r="C127" s="44" t="s">
        <v>82</v>
      </c>
      <c r="D127" s="44" t="s">
        <v>175</v>
      </c>
      <c r="E127" s="44" t="s">
        <v>16</v>
      </c>
      <c r="F127" s="44"/>
      <c r="G127" s="197"/>
      <c r="H127" s="197"/>
      <c r="I127" s="197"/>
      <c r="J127" s="197"/>
      <c r="K127" s="197"/>
      <c r="L127" s="197"/>
      <c r="M127" s="197"/>
    </row>
    <row r="128" spans="1:13" s="28" customFormat="1" ht="12.75" hidden="1">
      <c r="A128" s="87" t="s">
        <v>17</v>
      </c>
      <c r="B128" s="27" t="s">
        <v>145</v>
      </c>
      <c r="C128" s="27" t="s">
        <v>82</v>
      </c>
      <c r="D128" s="27" t="s">
        <v>175</v>
      </c>
      <c r="E128" s="27" t="s">
        <v>18</v>
      </c>
      <c r="F128" s="27"/>
      <c r="G128" s="201"/>
      <c r="H128" s="201"/>
      <c r="I128" s="201"/>
      <c r="J128" s="201"/>
      <c r="K128" s="201"/>
      <c r="L128" s="201"/>
      <c r="M128" s="201"/>
    </row>
    <row r="129" spans="1:13" s="28" customFormat="1" ht="12.75" hidden="1">
      <c r="A129" s="87" t="s">
        <v>21</v>
      </c>
      <c r="B129" s="27" t="s">
        <v>145</v>
      </c>
      <c r="C129" s="27" t="s">
        <v>82</v>
      </c>
      <c r="D129" s="27" t="s">
        <v>175</v>
      </c>
      <c r="E129" s="27" t="s">
        <v>19</v>
      </c>
      <c r="F129" s="27"/>
      <c r="G129" s="201"/>
      <c r="H129" s="201"/>
      <c r="I129" s="201"/>
      <c r="J129" s="201"/>
      <c r="K129" s="201"/>
      <c r="L129" s="201"/>
      <c r="M129" s="201"/>
    </row>
    <row r="130" spans="1:13" ht="25.5" hidden="1">
      <c r="A130" s="11" t="s">
        <v>20</v>
      </c>
      <c r="B130" s="4"/>
      <c r="C130" s="4"/>
      <c r="D130" s="4"/>
      <c r="E130" s="4"/>
      <c r="F130" s="4" t="s">
        <v>183</v>
      </c>
      <c r="G130" s="200"/>
      <c r="H130" s="200"/>
      <c r="I130" s="200"/>
      <c r="J130" s="200"/>
      <c r="K130" s="200"/>
      <c r="L130" s="200"/>
      <c r="M130" s="200"/>
    </row>
    <row r="131" spans="1:13" ht="38.25" hidden="1">
      <c r="A131" s="8" t="s">
        <v>22</v>
      </c>
      <c r="B131" s="4"/>
      <c r="C131" s="4"/>
      <c r="D131" s="4"/>
      <c r="E131" s="4"/>
      <c r="F131" s="4" t="s">
        <v>185</v>
      </c>
      <c r="G131" s="200"/>
      <c r="H131" s="200"/>
      <c r="I131" s="200"/>
      <c r="J131" s="200"/>
      <c r="K131" s="200"/>
      <c r="L131" s="200"/>
      <c r="M131" s="200"/>
    </row>
    <row r="132" spans="1:13" s="28" customFormat="1" ht="12.75" hidden="1">
      <c r="A132" s="87" t="s">
        <v>23</v>
      </c>
      <c r="B132" s="27" t="s">
        <v>145</v>
      </c>
      <c r="C132" s="27" t="s">
        <v>82</v>
      </c>
      <c r="D132" s="27" t="s">
        <v>175</v>
      </c>
      <c r="E132" s="27" t="s">
        <v>24</v>
      </c>
      <c r="F132" s="27"/>
      <c r="G132" s="201"/>
      <c r="H132" s="201"/>
      <c r="I132" s="201"/>
      <c r="J132" s="201"/>
      <c r="K132" s="201"/>
      <c r="L132" s="201"/>
      <c r="M132" s="201"/>
    </row>
    <row r="133" spans="1:13" ht="12.75" customHeight="1" hidden="1">
      <c r="A133" s="7" t="s">
        <v>25</v>
      </c>
      <c r="B133" s="4"/>
      <c r="C133" s="4"/>
      <c r="D133" s="4"/>
      <c r="E133" s="4"/>
      <c r="F133" s="4" t="s">
        <v>186</v>
      </c>
      <c r="G133" s="200"/>
      <c r="H133" s="200"/>
      <c r="I133" s="200"/>
      <c r="J133" s="200"/>
      <c r="K133" s="200"/>
      <c r="L133" s="200"/>
      <c r="M133" s="200"/>
    </row>
    <row r="134" spans="1:13" ht="12.75" customHeight="1" hidden="1">
      <c r="A134" s="7" t="s">
        <v>26</v>
      </c>
      <c r="B134" s="4"/>
      <c r="C134" s="4"/>
      <c r="D134" s="4"/>
      <c r="E134" s="4"/>
      <c r="F134" s="4" t="s">
        <v>187</v>
      </c>
      <c r="G134" s="200"/>
      <c r="H134" s="200"/>
      <c r="I134" s="200"/>
      <c r="J134" s="200"/>
      <c r="K134" s="200"/>
      <c r="L134" s="200"/>
      <c r="M134" s="200"/>
    </row>
    <row r="135" spans="1:13" ht="12.75" hidden="1">
      <c r="A135" s="7" t="s">
        <v>27</v>
      </c>
      <c r="B135" s="4"/>
      <c r="C135" s="4"/>
      <c r="D135" s="4"/>
      <c r="E135" s="4"/>
      <c r="F135" s="4" t="s">
        <v>188</v>
      </c>
      <c r="G135" s="200"/>
      <c r="H135" s="200"/>
      <c r="I135" s="200"/>
      <c r="J135" s="200"/>
      <c r="K135" s="200"/>
      <c r="L135" s="200"/>
      <c r="M135" s="200"/>
    </row>
    <row r="136" spans="1:13" s="28" customFormat="1" ht="15" customHeight="1" hidden="1">
      <c r="A136" s="87" t="s">
        <v>28</v>
      </c>
      <c r="B136" s="27" t="s">
        <v>145</v>
      </c>
      <c r="C136" s="27" t="s">
        <v>82</v>
      </c>
      <c r="D136" s="27" t="s">
        <v>175</v>
      </c>
      <c r="E136" s="27" t="s">
        <v>29</v>
      </c>
      <c r="F136" s="27"/>
      <c r="G136" s="201"/>
      <c r="H136" s="201"/>
      <c r="I136" s="201"/>
      <c r="J136" s="201"/>
      <c r="K136" s="201"/>
      <c r="L136" s="201"/>
      <c r="M136" s="201"/>
    </row>
    <row r="137" spans="1:13" s="28" customFormat="1" ht="12.75" hidden="1">
      <c r="A137" s="87" t="s">
        <v>30</v>
      </c>
      <c r="B137" s="27" t="s">
        <v>145</v>
      </c>
      <c r="C137" s="27" t="s">
        <v>82</v>
      </c>
      <c r="D137" s="27" t="s">
        <v>175</v>
      </c>
      <c r="E137" s="27" t="s">
        <v>31</v>
      </c>
      <c r="F137" s="27"/>
      <c r="G137" s="201"/>
      <c r="H137" s="201"/>
      <c r="I137" s="201"/>
      <c r="J137" s="201"/>
      <c r="K137" s="201"/>
      <c r="L137" s="201"/>
      <c r="M137" s="201"/>
    </row>
    <row r="138" spans="1:13" s="30" customFormat="1" ht="12.75" hidden="1">
      <c r="A138" s="7" t="s">
        <v>32</v>
      </c>
      <c r="B138" s="29"/>
      <c r="C138" s="29"/>
      <c r="D138" s="29"/>
      <c r="E138" s="29"/>
      <c r="F138" s="17" t="s">
        <v>189</v>
      </c>
      <c r="G138" s="212"/>
      <c r="H138" s="212"/>
      <c r="I138" s="212"/>
      <c r="J138" s="212"/>
      <c r="K138" s="212"/>
      <c r="L138" s="212"/>
      <c r="M138" s="212"/>
    </row>
    <row r="139" spans="1:13" s="18" customFormat="1" ht="12.75" hidden="1">
      <c r="A139" s="7" t="s">
        <v>33</v>
      </c>
      <c r="B139" s="17"/>
      <c r="C139" s="17"/>
      <c r="D139" s="17"/>
      <c r="E139" s="17"/>
      <c r="F139" s="17" t="s">
        <v>191</v>
      </c>
      <c r="G139" s="186"/>
      <c r="H139" s="186"/>
      <c r="I139" s="186"/>
      <c r="J139" s="186"/>
      <c r="K139" s="186"/>
      <c r="L139" s="186"/>
      <c r="M139" s="186"/>
    </row>
    <row r="140" spans="1:13" s="18" customFormat="1" ht="25.5" hidden="1">
      <c r="A140" s="7" t="s">
        <v>34</v>
      </c>
      <c r="B140" s="17"/>
      <c r="C140" s="17"/>
      <c r="D140" s="17"/>
      <c r="E140" s="17"/>
      <c r="F140" s="17" t="s">
        <v>221</v>
      </c>
      <c r="G140" s="186"/>
      <c r="H140" s="186"/>
      <c r="I140" s="186"/>
      <c r="J140" s="186"/>
      <c r="K140" s="186"/>
      <c r="L140" s="186"/>
      <c r="M140" s="186"/>
    </row>
    <row r="141" spans="1:13" s="18" customFormat="1" ht="25.5" hidden="1">
      <c r="A141" s="7" t="s">
        <v>35</v>
      </c>
      <c r="B141" s="17"/>
      <c r="C141" s="17"/>
      <c r="D141" s="17"/>
      <c r="E141" s="17"/>
      <c r="F141" s="17" t="s">
        <v>190</v>
      </c>
      <c r="G141" s="186"/>
      <c r="H141" s="186"/>
      <c r="I141" s="186"/>
      <c r="J141" s="186"/>
      <c r="K141" s="186"/>
      <c r="L141" s="186"/>
      <c r="M141" s="186"/>
    </row>
    <row r="142" spans="1:13" s="18" customFormat="1" ht="51" hidden="1">
      <c r="A142" s="7" t="s">
        <v>36</v>
      </c>
      <c r="B142" s="17"/>
      <c r="C142" s="17"/>
      <c r="D142" s="17"/>
      <c r="E142" s="17"/>
      <c r="F142" s="17" t="s">
        <v>224</v>
      </c>
      <c r="G142" s="186"/>
      <c r="H142" s="186"/>
      <c r="I142" s="186"/>
      <c r="J142" s="186"/>
      <c r="K142" s="186"/>
      <c r="L142" s="186"/>
      <c r="M142" s="186"/>
    </row>
    <row r="143" spans="1:13" s="28" customFormat="1" ht="12.75" hidden="1">
      <c r="A143" s="87" t="s">
        <v>37</v>
      </c>
      <c r="B143" s="27" t="s">
        <v>145</v>
      </c>
      <c r="C143" s="27" t="s">
        <v>82</v>
      </c>
      <c r="D143" s="27" t="s">
        <v>175</v>
      </c>
      <c r="E143" s="27" t="s">
        <v>38</v>
      </c>
      <c r="F143" s="27"/>
      <c r="G143" s="201"/>
      <c r="H143" s="201"/>
      <c r="I143" s="201"/>
      <c r="J143" s="201"/>
      <c r="K143" s="201"/>
      <c r="L143" s="201"/>
      <c r="M143" s="201"/>
    </row>
    <row r="144" spans="1:13" s="21" customFormat="1" ht="38.25" hidden="1">
      <c r="A144" s="11" t="s">
        <v>39</v>
      </c>
      <c r="B144" s="20"/>
      <c r="C144" s="20"/>
      <c r="D144" s="20"/>
      <c r="E144" s="20"/>
      <c r="F144" s="20" t="s">
        <v>183</v>
      </c>
      <c r="G144" s="214"/>
      <c r="H144" s="214"/>
      <c r="I144" s="214"/>
      <c r="J144" s="214"/>
      <c r="K144" s="214"/>
      <c r="L144" s="214"/>
      <c r="M144" s="214"/>
    </row>
    <row r="145" spans="1:13" s="21" customFormat="1" ht="38.25" hidden="1">
      <c r="A145" s="19" t="s">
        <v>40</v>
      </c>
      <c r="B145" s="20"/>
      <c r="C145" s="20"/>
      <c r="D145" s="20"/>
      <c r="E145" s="20"/>
      <c r="F145" s="20" t="s">
        <v>222</v>
      </c>
      <c r="G145" s="214"/>
      <c r="H145" s="214"/>
      <c r="I145" s="214"/>
      <c r="J145" s="214"/>
      <c r="K145" s="214"/>
      <c r="L145" s="214"/>
      <c r="M145" s="214"/>
    </row>
    <row r="146" spans="1:13" s="21" customFormat="1" ht="25.5" customHeight="1" hidden="1">
      <c r="A146" s="12" t="s">
        <v>41</v>
      </c>
      <c r="B146" s="20"/>
      <c r="C146" s="20"/>
      <c r="D146" s="20"/>
      <c r="E146" s="20"/>
      <c r="F146" s="20" t="s">
        <v>192</v>
      </c>
      <c r="G146" s="214"/>
      <c r="H146" s="214"/>
      <c r="I146" s="214"/>
      <c r="J146" s="214"/>
      <c r="K146" s="214"/>
      <c r="L146" s="214"/>
      <c r="M146" s="214"/>
    </row>
    <row r="147" spans="1:13" s="45" customFormat="1" ht="12.75" hidden="1">
      <c r="A147" s="43" t="s">
        <v>42</v>
      </c>
      <c r="B147" s="44" t="s">
        <v>145</v>
      </c>
      <c r="C147" s="44" t="s">
        <v>82</v>
      </c>
      <c r="D147" s="44" t="s">
        <v>175</v>
      </c>
      <c r="E147" s="44" t="s">
        <v>43</v>
      </c>
      <c r="F147" s="44"/>
      <c r="G147" s="197"/>
      <c r="H147" s="197"/>
      <c r="I147" s="197"/>
      <c r="J147" s="197"/>
      <c r="K147" s="197"/>
      <c r="L147" s="197"/>
      <c r="M147" s="197"/>
    </row>
    <row r="148" spans="1:13" s="28" customFormat="1" ht="12.75" hidden="1">
      <c r="A148" s="87" t="s">
        <v>44</v>
      </c>
      <c r="B148" s="27" t="s">
        <v>145</v>
      </c>
      <c r="C148" s="27" t="s">
        <v>82</v>
      </c>
      <c r="D148" s="27" t="s">
        <v>175</v>
      </c>
      <c r="E148" s="27" t="s">
        <v>45</v>
      </c>
      <c r="F148" s="27"/>
      <c r="G148" s="201"/>
      <c r="H148" s="201"/>
      <c r="I148" s="201"/>
      <c r="J148" s="201"/>
      <c r="K148" s="201"/>
      <c r="L148" s="201"/>
      <c r="M148" s="201"/>
    </row>
    <row r="149" spans="1:13" s="21" customFormat="1" ht="12.75" hidden="1">
      <c r="A149" s="6" t="s">
        <v>46</v>
      </c>
      <c r="B149" s="20"/>
      <c r="C149" s="20"/>
      <c r="D149" s="20"/>
      <c r="E149" s="20"/>
      <c r="F149" s="20"/>
      <c r="G149" s="214"/>
      <c r="H149" s="214"/>
      <c r="I149" s="214"/>
      <c r="J149" s="214"/>
      <c r="K149" s="214"/>
      <c r="L149" s="214"/>
      <c r="M149" s="214"/>
    </row>
    <row r="150" spans="1:13" s="45" customFormat="1" ht="12.75" hidden="1">
      <c r="A150" s="43" t="s">
        <v>47</v>
      </c>
      <c r="B150" s="44" t="s">
        <v>145</v>
      </c>
      <c r="C150" s="44" t="s">
        <v>82</v>
      </c>
      <c r="D150" s="44" t="s">
        <v>175</v>
      </c>
      <c r="E150" s="44" t="s">
        <v>48</v>
      </c>
      <c r="F150" s="44"/>
      <c r="G150" s="197"/>
      <c r="H150" s="197"/>
      <c r="I150" s="197"/>
      <c r="J150" s="197"/>
      <c r="K150" s="197"/>
      <c r="L150" s="197"/>
      <c r="M150" s="197"/>
    </row>
    <row r="151" spans="1:13" s="21" customFormat="1" ht="27.75" customHeight="1" hidden="1">
      <c r="A151" s="12" t="s">
        <v>41</v>
      </c>
      <c r="B151" s="20"/>
      <c r="C151" s="20"/>
      <c r="D151" s="20"/>
      <c r="E151" s="20"/>
      <c r="F151" s="20"/>
      <c r="G151" s="214"/>
      <c r="H151" s="214"/>
      <c r="I151" s="214"/>
      <c r="J151" s="214"/>
      <c r="K151" s="214"/>
      <c r="L151" s="214"/>
      <c r="M151" s="214"/>
    </row>
    <row r="152" spans="1:13" s="45" customFormat="1" ht="12.75" hidden="1">
      <c r="A152" s="43" t="s">
        <v>49</v>
      </c>
      <c r="B152" s="44" t="s">
        <v>145</v>
      </c>
      <c r="C152" s="44" t="s">
        <v>82</v>
      </c>
      <c r="D152" s="44" t="s">
        <v>175</v>
      </c>
      <c r="E152" s="44" t="s">
        <v>50</v>
      </c>
      <c r="F152" s="44"/>
      <c r="G152" s="197"/>
      <c r="H152" s="197"/>
      <c r="I152" s="197"/>
      <c r="J152" s="197"/>
      <c r="K152" s="197"/>
      <c r="L152" s="197"/>
      <c r="M152" s="197"/>
    </row>
    <row r="153" spans="1:13" s="28" customFormat="1" ht="12.75" hidden="1">
      <c r="A153" s="87" t="s">
        <v>51</v>
      </c>
      <c r="B153" s="27" t="s">
        <v>145</v>
      </c>
      <c r="C153" s="27" t="s">
        <v>82</v>
      </c>
      <c r="D153" s="27" t="s">
        <v>175</v>
      </c>
      <c r="E153" s="27" t="s">
        <v>52</v>
      </c>
      <c r="F153" s="27"/>
      <c r="G153" s="201"/>
      <c r="H153" s="201"/>
      <c r="I153" s="201"/>
      <c r="J153" s="201"/>
      <c r="K153" s="201"/>
      <c r="L153" s="201"/>
      <c r="M153" s="201"/>
    </row>
    <row r="154" spans="1:13" s="21" customFormat="1" ht="12.75" hidden="1">
      <c r="A154" s="7" t="s">
        <v>53</v>
      </c>
      <c r="B154" s="20"/>
      <c r="C154" s="20"/>
      <c r="D154" s="20"/>
      <c r="E154" s="20"/>
      <c r="F154" s="20" t="s">
        <v>223</v>
      </c>
      <c r="G154" s="214"/>
      <c r="H154" s="214"/>
      <c r="I154" s="214"/>
      <c r="J154" s="214"/>
      <c r="K154" s="214"/>
      <c r="L154" s="214"/>
      <c r="M154" s="214"/>
    </row>
    <row r="155" spans="1:13" s="21" customFormat="1" ht="38.25" customHeight="1" hidden="1">
      <c r="A155" s="7" t="s">
        <v>54</v>
      </c>
      <c r="B155" s="20"/>
      <c r="C155" s="20"/>
      <c r="D155" s="20"/>
      <c r="E155" s="20"/>
      <c r="F155" s="20" t="s">
        <v>194</v>
      </c>
      <c r="G155" s="214"/>
      <c r="H155" s="214"/>
      <c r="I155" s="214"/>
      <c r="J155" s="214"/>
      <c r="K155" s="214"/>
      <c r="L155" s="214"/>
      <c r="M155" s="214"/>
    </row>
    <row r="156" spans="1:13" s="21" customFormat="1" ht="53.25" customHeight="1" hidden="1">
      <c r="A156" s="7" t="s">
        <v>55</v>
      </c>
      <c r="B156" s="20"/>
      <c r="C156" s="20"/>
      <c r="D156" s="20"/>
      <c r="E156" s="20"/>
      <c r="F156" s="20" t="s">
        <v>193</v>
      </c>
      <c r="G156" s="214"/>
      <c r="H156" s="214"/>
      <c r="I156" s="214"/>
      <c r="J156" s="214"/>
      <c r="K156" s="214"/>
      <c r="L156" s="214"/>
      <c r="M156" s="214"/>
    </row>
    <row r="157" spans="1:13" s="28" customFormat="1" ht="16.5" customHeight="1" hidden="1">
      <c r="A157" s="87" t="s">
        <v>56</v>
      </c>
      <c r="B157" s="27" t="s">
        <v>145</v>
      </c>
      <c r="C157" s="27" t="s">
        <v>82</v>
      </c>
      <c r="D157" s="27" t="s">
        <v>175</v>
      </c>
      <c r="E157" s="27" t="s">
        <v>57</v>
      </c>
      <c r="F157" s="27"/>
      <c r="G157" s="201"/>
      <c r="H157" s="201"/>
      <c r="I157" s="201"/>
      <c r="J157" s="201"/>
      <c r="K157" s="201"/>
      <c r="L157" s="201"/>
      <c r="M157" s="201"/>
    </row>
    <row r="158" spans="1:13" s="21" customFormat="1" ht="25.5" hidden="1">
      <c r="A158" s="7" t="s">
        <v>58</v>
      </c>
      <c r="B158" s="20"/>
      <c r="C158" s="20"/>
      <c r="D158" s="20"/>
      <c r="E158" s="20"/>
      <c r="F158" s="20" t="s">
        <v>195</v>
      </c>
      <c r="G158" s="214"/>
      <c r="H158" s="214"/>
      <c r="I158" s="214"/>
      <c r="J158" s="214"/>
      <c r="K158" s="214"/>
      <c r="L158" s="214"/>
      <c r="M158" s="214"/>
    </row>
    <row r="159" spans="1:13" s="21" customFormat="1" ht="12.75" hidden="1">
      <c r="A159" s="7" t="s">
        <v>59</v>
      </c>
      <c r="B159" s="20"/>
      <c r="C159" s="20"/>
      <c r="D159" s="20"/>
      <c r="E159" s="20"/>
      <c r="F159" s="20" t="s">
        <v>196</v>
      </c>
      <c r="G159" s="214"/>
      <c r="H159" s="214"/>
      <c r="I159" s="214"/>
      <c r="J159" s="214"/>
      <c r="K159" s="214"/>
      <c r="L159" s="214"/>
      <c r="M159" s="214"/>
    </row>
    <row r="160" spans="1:13" s="21" customFormat="1" ht="12.75" hidden="1">
      <c r="A160" s="7" t="s">
        <v>60</v>
      </c>
      <c r="B160" s="20"/>
      <c r="C160" s="20"/>
      <c r="D160" s="20"/>
      <c r="E160" s="20"/>
      <c r="F160" s="20" t="s">
        <v>197</v>
      </c>
      <c r="G160" s="214"/>
      <c r="H160" s="214"/>
      <c r="I160" s="214"/>
      <c r="J160" s="214"/>
      <c r="K160" s="214"/>
      <c r="L160" s="214"/>
      <c r="M160" s="214"/>
    </row>
    <row r="161" spans="1:13" s="21" customFormat="1" ht="39" customHeight="1" hidden="1">
      <c r="A161" s="7" t="s">
        <v>61</v>
      </c>
      <c r="B161" s="20"/>
      <c r="C161" s="20"/>
      <c r="D161" s="20"/>
      <c r="E161" s="20"/>
      <c r="F161" s="20" t="s">
        <v>198</v>
      </c>
      <c r="G161" s="214"/>
      <c r="H161" s="214"/>
      <c r="I161" s="214"/>
      <c r="J161" s="214"/>
      <c r="K161" s="214"/>
      <c r="L161" s="214"/>
      <c r="M161" s="214"/>
    </row>
    <row r="162" spans="1:13" s="21" customFormat="1" ht="22.5" customHeight="1">
      <c r="A162" s="11" t="s">
        <v>10</v>
      </c>
      <c r="B162" s="20"/>
      <c r="C162" s="20"/>
      <c r="D162" s="20"/>
      <c r="E162" s="20"/>
      <c r="F162" s="20" t="s">
        <v>371</v>
      </c>
      <c r="G162" s="214">
        <f>H162+I162+J162+K162</f>
        <v>6630</v>
      </c>
      <c r="H162" s="214"/>
      <c r="I162" s="214">
        <v>2210</v>
      </c>
      <c r="J162" s="214">
        <v>2210</v>
      </c>
      <c r="K162" s="214">
        <v>2210</v>
      </c>
      <c r="L162" s="214">
        <f>'ИСПОЛНЕНИЕ 1 КВ.'!H162+'ИСПОЛНЕНИЕ 2 КВ. '!I162</f>
        <v>1360</v>
      </c>
      <c r="M162" s="214">
        <f>G162-L162</f>
        <v>5270</v>
      </c>
    </row>
    <row r="163" spans="1:13" s="21" customFormat="1" ht="15.75" customHeight="1">
      <c r="A163" s="12" t="s">
        <v>343</v>
      </c>
      <c r="B163" s="20"/>
      <c r="C163" s="20"/>
      <c r="D163" s="20"/>
      <c r="E163" s="20"/>
      <c r="F163" s="20"/>
      <c r="G163" s="214"/>
      <c r="H163" s="214"/>
      <c r="I163" s="214"/>
      <c r="J163" s="214"/>
      <c r="K163" s="214"/>
      <c r="L163" s="214">
        <f>'ИСПОЛНЕНИЕ 1 КВ.'!H163+'ИСПОЛНЕНИЕ 2 КВ. '!I163</f>
        <v>0</v>
      </c>
      <c r="M163" s="214"/>
    </row>
    <row r="164" spans="1:13" s="21" customFormat="1" ht="24.75" customHeight="1">
      <c r="A164" s="6" t="s">
        <v>12</v>
      </c>
      <c r="B164" s="20"/>
      <c r="C164" s="20"/>
      <c r="D164" s="20"/>
      <c r="E164" s="20"/>
      <c r="F164" s="20" t="s">
        <v>370</v>
      </c>
      <c r="G164" s="214">
        <f>H164+I164+J164+K164</f>
        <v>45000</v>
      </c>
      <c r="H164" s="214"/>
      <c r="I164" s="214">
        <v>45000</v>
      </c>
      <c r="J164" s="214"/>
      <c r="K164" s="214"/>
      <c r="L164" s="214">
        <f>'ИСПОЛНЕНИЕ 1 КВ.'!H164+'ИСПОЛНЕНИЕ 2 КВ. '!I164</f>
        <v>0</v>
      </c>
      <c r="M164" s="214">
        <f>G164-L164</f>
        <v>45000</v>
      </c>
    </row>
    <row r="165" spans="1:13" s="21" customFormat="1" ht="19.5" customHeight="1">
      <c r="A165" s="87" t="s">
        <v>13</v>
      </c>
      <c r="B165" s="20" t="s">
        <v>145</v>
      </c>
      <c r="C165" s="20" t="s">
        <v>232</v>
      </c>
      <c r="D165" s="20" t="s">
        <v>175</v>
      </c>
      <c r="E165" s="4" t="s">
        <v>14</v>
      </c>
      <c r="F165" s="20" t="s">
        <v>369</v>
      </c>
      <c r="G165" s="214">
        <f>G15*26.2%</f>
        <v>0</v>
      </c>
      <c r="H165" s="214"/>
      <c r="I165" s="214"/>
      <c r="J165" s="214"/>
      <c r="K165" s="214"/>
      <c r="L165" s="214">
        <f>'ИСПОЛНЕНИЕ 1 КВ.'!H165+'ИСПОЛНЕНИЕ 2 КВ. '!I165</f>
        <v>0</v>
      </c>
      <c r="M165" s="214"/>
    </row>
    <row r="166" spans="1:13" s="21" customFormat="1" ht="18.75" customHeight="1">
      <c r="A166" s="43" t="s">
        <v>15</v>
      </c>
      <c r="B166" s="14" t="s">
        <v>145</v>
      </c>
      <c r="C166" s="14" t="s">
        <v>232</v>
      </c>
      <c r="D166" s="14" t="s">
        <v>175</v>
      </c>
      <c r="E166" s="14" t="s">
        <v>16</v>
      </c>
      <c r="F166" s="20"/>
      <c r="G166" s="211">
        <f>H166+I166+J166+K166</f>
        <v>154000</v>
      </c>
      <c r="H166" s="211">
        <f aca="true" t="shared" si="5" ref="H166:M166">H167+H168+H171+H175+H176+H182</f>
        <v>0</v>
      </c>
      <c r="I166" s="211">
        <f t="shared" si="5"/>
        <v>52630</v>
      </c>
      <c r="J166" s="211">
        <f t="shared" si="5"/>
        <v>20000</v>
      </c>
      <c r="K166" s="211">
        <f t="shared" si="5"/>
        <v>81370</v>
      </c>
      <c r="L166" s="211">
        <f t="shared" si="5"/>
        <v>35130</v>
      </c>
      <c r="M166" s="211">
        <f t="shared" si="5"/>
        <v>118870</v>
      </c>
    </row>
    <row r="167" spans="1:13" s="21" customFormat="1" ht="20.25" customHeight="1">
      <c r="A167" s="87" t="s">
        <v>341</v>
      </c>
      <c r="B167" s="20" t="s">
        <v>145</v>
      </c>
      <c r="C167" s="20" t="s">
        <v>232</v>
      </c>
      <c r="D167" s="20" t="s">
        <v>175</v>
      </c>
      <c r="E167" s="20" t="s">
        <v>18</v>
      </c>
      <c r="F167" s="20" t="s">
        <v>369</v>
      </c>
      <c r="G167" s="214"/>
      <c r="H167" s="214"/>
      <c r="I167" s="214"/>
      <c r="J167" s="214"/>
      <c r="K167" s="214"/>
      <c r="L167" s="214">
        <f>'ИСПОЛНЕНИЕ 1 КВ.'!H167+'ИСПОЛНЕНИЕ 2 КВ. '!I167</f>
        <v>0</v>
      </c>
      <c r="M167" s="214"/>
    </row>
    <row r="168" spans="1:13" s="21" customFormat="1" ht="21" customHeight="1">
      <c r="A168" s="87" t="s">
        <v>21</v>
      </c>
      <c r="B168" s="20" t="s">
        <v>145</v>
      </c>
      <c r="C168" s="20" t="s">
        <v>232</v>
      </c>
      <c r="D168" s="20" t="s">
        <v>175</v>
      </c>
      <c r="E168" s="20" t="s">
        <v>19</v>
      </c>
      <c r="F168" s="20"/>
      <c r="G168" s="214">
        <f>H168+I168+J168+K168</f>
        <v>67000</v>
      </c>
      <c r="H168" s="214">
        <f aca="true" t="shared" si="6" ref="H168:M168">H169+H170</f>
        <v>0</v>
      </c>
      <c r="I168" s="214">
        <f t="shared" si="6"/>
        <v>22630</v>
      </c>
      <c r="J168" s="214">
        <f t="shared" si="6"/>
        <v>10000</v>
      </c>
      <c r="K168" s="214">
        <f t="shared" si="6"/>
        <v>34370</v>
      </c>
      <c r="L168" s="214">
        <f>'ИСПОЛНЕНИЕ 1 КВ.'!H168+'ИСПОЛНЕНИЕ 2 КВ. '!I168</f>
        <v>22630</v>
      </c>
      <c r="M168" s="214">
        <f t="shared" si="6"/>
        <v>44370</v>
      </c>
    </row>
    <row r="169" spans="1:13" s="21" customFormat="1" ht="25.5" customHeight="1">
      <c r="A169" s="11" t="s">
        <v>344</v>
      </c>
      <c r="B169" s="20"/>
      <c r="C169" s="20"/>
      <c r="D169" s="20"/>
      <c r="E169" s="20"/>
      <c r="F169" s="20" t="s">
        <v>372</v>
      </c>
      <c r="G169" s="214">
        <f>H169+I169+J169+K169</f>
        <v>67000</v>
      </c>
      <c r="H169" s="214"/>
      <c r="I169" s="214">
        <v>22630</v>
      </c>
      <c r="J169" s="214">
        <v>10000</v>
      </c>
      <c r="K169" s="214">
        <f>22340+12000+30</f>
        <v>34370</v>
      </c>
      <c r="L169" s="214">
        <f>'ИСПОЛНЕНИЕ 1 КВ.'!H169+'ИСПОЛНЕНИЕ 2 КВ. '!I169</f>
        <v>22630</v>
      </c>
      <c r="M169" s="214">
        <f>G169-L169</f>
        <v>44370</v>
      </c>
    </row>
    <row r="170" spans="1:13" s="21" customFormat="1" ht="23.25" customHeight="1">
      <c r="A170" s="8" t="s">
        <v>22</v>
      </c>
      <c r="B170" s="20"/>
      <c r="C170" s="20"/>
      <c r="D170" s="20"/>
      <c r="E170" s="20"/>
      <c r="F170" s="20" t="s">
        <v>374</v>
      </c>
      <c r="G170" s="214"/>
      <c r="H170" s="214"/>
      <c r="I170" s="214"/>
      <c r="J170" s="214"/>
      <c r="K170" s="214"/>
      <c r="L170" s="214">
        <f>'ИСПОЛНЕНИЕ 1 КВ.'!H170+'ИСПОЛНЕНИЕ 2 КВ. '!I170</f>
        <v>0</v>
      </c>
      <c r="M170" s="214"/>
    </row>
    <row r="171" spans="1:13" s="21" customFormat="1" ht="15.75" customHeight="1">
      <c r="A171" s="87" t="s">
        <v>23</v>
      </c>
      <c r="B171" s="20" t="s">
        <v>145</v>
      </c>
      <c r="C171" s="20" t="s">
        <v>232</v>
      </c>
      <c r="D171" s="20" t="s">
        <v>175</v>
      </c>
      <c r="E171" s="20" t="s">
        <v>24</v>
      </c>
      <c r="F171" s="20"/>
      <c r="G171" s="214"/>
      <c r="H171" s="214"/>
      <c r="I171" s="214"/>
      <c r="J171" s="214"/>
      <c r="K171" s="214"/>
      <c r="L171" s="214">
        <f>'ИСПОЛНЕНИЕ 1 КВ.'!H171+'ИСПОЛНЕНИЕ 2 КВ. '!I171</f>
        <v>0</v>
      </c>
      <c r="M171" s="214"/>
    </row>
    <row r="172" spans="1:13" s="21" customFormat="1" ht="12" customHeight="1">
      <c r="A172" s="7" t="s">
        <v>345</v>
      </c>
      <c r="B172" s="20"/>
      <c r="C172" s="20"/>
      <c r="D172" s="20"/>
      <c r="E172" s="20"/>
      <c r="F172" s="20" t="s">
        <v>373</v>
      </c>
      <c r="G172" s="214"/>
      <c r="H172" s="214"/>
      <c r="I172" s="214"/>
      <c r="J172" s="214"/>
      <c r="K172" s="214"/>
      <c r="L172" s="214">
        <f>'ИСПОЛНЕНИЕ 1 КВ.'!H172+'ИСПОЛНЕНИЕ 2 КВ. '!I172</f>
        <v>0</v>
      </c>
      <c r="M172" s="214"/>
    </row>
    <row r="173" spans="1:13" s="21" customFormat="1" ht="13.5" customHeight="1">
      <c r="A173" s="7" t="s">
        <v>346</v>
      </c>
      <c r="B173" s="20"/>
      <c r="C173" s="20"/>
      <c r="D173" s="20"/>
      <c r="E173" s="20"/>
      <c r="F173" s="20" t="s">
        <v>375</v>
      </c>
      <c r="G173" s="214"/>
      <c r="H173" s="214"/>
      <c r="I173" s="214"/>
      <c r="J173" s="214"/>
      <c r="K173" s="214"/>
      <c r="L173" s="214">
        <f>'ИСПОЛНЕНИЕ 1 КВ.'!H173+'ИСПОЛНЕНИЕ 2 КВ. '!I173</f>
        <v>0</v>
      </c>
      <c r="M173" s="214"/>
    </row>
    <row r="174" spans="1:13" s="21" customFormat="1" ht="12" customHeight="1">
      <c r="A174" s="7" t="s">
        <v>347</v>
      </c>
      <c r="B174" s="20"/>
      <c r="C174" s="20"/>
      <c r="D174" s="20"/>
      <c r="E174" s="20"/>
      <c r="F174" s="20" t="s">
        <v>376</v>
      </c>
      <c r="G174" s="214"/>
      <c r="H174" s="214"/>
      <c r="I174" s="214"/>
      <c r="J174" s="214"/>
      <c r="K174" s="214"/>
      <c r="L174" s="214">
        <f>'ИСПОЛНЕНИЕ 1 КВ.'!H174+'ИСПОЛНЕНИЕ 2 КВ. '!I174</f>
        <v>0</v>
      </c>
      <c r="M174" s="214"/>
    </row>
    <row r="175" spans="1:13" s="21" customFormat="1" ht="12" customHeight="1">
      <c r="A175" s="87" t="s">
        <v>28</v>
      </c>
      <c r="B175" s="20" t="s">
        <v>145</v>
      </c>
      <c r="C175" s="20" t="s">
        <v>232</v>
      </c>
      <c r="D175" s="20" t="s">
        <v>175</v>
      </c>
      <c r="E175" s="20" t="s">
        <v>29</v>
      </c>
      <c r="F175" s="20"/>
      <c r="G175" s="214"/>
      <c r="H175" s="214"/>
      <c r="I175" s="214"/>
      <c r="J175" s="214"/>
      <c r="K175" s="214"/>
      <c r="L175" s="214">
        <f>'ИСПОЛНЕНИЕ 1 КВ.'!H175+'ИСПОЛНЕНИЕ 2 КВ. '!I175</f>
        <v>0</v>
      </c>
      <c r="M175" s="214"/>
    </row>
    <row r="176" spans="1:13" s="21" customFormat="1" ht="12.75" customHeight="1">
      <c r="A176" s="87" t="s">
        <v>30</v>
      </c>
      <c r="B176" s="20"/>
      <c r="C176" s="20"/>
      <c r="D176" s="20"/>
      <c r="E176" s="20" t="s">
        <v>31</v>
      </c>
      <c r="F176" s="20"/>
      <c r="G176" s="214"/>
      <c r="H176" s="214"/>
      <c r="I176" s="214"/>
      <c r="J176" s="214"/>
      <c r="K176" s="214"/>
      <c r="L176" s="214">
        <f>'ИСПОЛНЕНИЕ 1 КВ.'!H176+'ИСПОЛНЕНИЕ 2 КВ. '!I176</f>
        <v>0</v>
      </c>
      <c r="M176" s="214"/>
    </row>
    <row r="177" spans="1:13" s="21" customFormat="1" ht="12" customHeight="1">
      <c r="A177" s="7" t="s">
        <v>348</v>
      </c>
      <c r="B177" s="20"/>
      <c r="C177" s="20"/>
      <c r="D177" s="20"/>
      <c r="E177" s="20"/>
      <c r="F177" s="20" t="s">
        <v>377</v>
      </c>
      <c r="G177" s="214"/>
      <c r="H177" s="214"/>
      <c r="I177" s="214"/>
      <c r="J177" s="214"/>
      <c r="K177" s="214"/>
      <c r="L177" s="214">
        <f>'ИСПОЛНЕНИЕ 1 КВ.'!H177+'ИСПОЛНЕНИЕ 2 КВ. '!I177</f>
        <v>0</v>
      </c>
      <c r="M177" s="214"/>
    </row>
    <row r="178" spans="1:13" s="21" customFormat="1" ht="11.25" customHeight="1">
      <c r="A178" s="7" t="s">
        <v>349</v>
      </c>
      <c r="B178" s="20"/>
      <c r="C178" s="20"/>
      <c r="D178" s="20"/>
      <c r="E178" s="20"/>
      <c r="F178" s="20" t="s">
        <v>376</v>
      </c>
      <c r="G178" s="214"/>
      <c r="H178" s="214"/>
      <c r="I178" s="214"/>
      <c r="J178" s="214"/>
      <c r="K178" s="214"/>
      <c r="L178" s="214">
        <f>'ИСПОЛНЕНИЕ 1 КВ.'!H178+'ИСПОЛНЕНИЕ 2 КВ. '!I178</f>
        <v>0</v>
      </c>
      <c r="M178" s="214"/>
    </row>
    <row r="179" spans="1:13" s="21" customFormat="1" ht="23.25" customHeight="1">
      <c r="A179" s="7" t="s">
        <v>350</v>
      </c>
      <c r="B179" s="20"/>
      <c r="C179" s="20"/>
      <c r="D179" s="20"/>
      <c r="E179" s="20"/>
      <c r="F179" s="20" t="s">
        <v>379</v>
      </c>
      <c r="G179" s="214"/>
      <c r="H179" s="214"/>
      <c r="I179" s="214"/>
      <c r="J179" s="214"/>
      <c r="K179" s="214"/>
      <c r="L179" s="214">
        <f>'ИСПОЛНЕНИЕ 1 КВ.'!H179+'ИСПОЛНЕНИЕ 2 КВ. '!I179</f>
        <v>0</v>
      </c>
      <c r="M179" s="214"/>
    </row>
    <row r="180" spans="1:13" s="21" customFormat="1" ht="15.75" customHeight="1">
      <c r="A180" s="7" t="s">
        <v>351</v>
      </c>
      <c r="B180" s="20"/>
      <c r="C180" s="20"/>
      <c r="D180" s="20"/>
      <c r="E180" s="20"/>
      <c r="F180" s="20" t="s">
        <v>380</v>
      </c>
      <c r="G180" s="214"/>
      <c r="H180" s="214"/>
      <c r="I180" s="214"/>
      <c r="J180" s="214"/>
      <c r="K180" s="214"/>
      <c r="L180" s="214">
        <f>'ИСПОЛНЕНИЕ 1 КВ.'!H180+'ИСПОЛНЕНИЕ 2 КВ. '!I180</f>
        <v>0</v>
      </c>
      <c r="M180" s="214"/>
    </row>
    <row r="181" spans="1:13" s="21" customFormat="1" ht="23.25" customHeight="1">
      <c r="A181" s="7" t="s">
        <v>36</v>
      </c>
      <c r="B181" s="20"/>
      <c r="C181" s="20"/>
      <c r="D181" s="20"/>
      <c r="E181" s="20"/>
      <c r="F181" s="20"/>
      <c r="G181" s="214"/>
      <c r="H181" s="214"/>
      <c r="I181" s="214"/>
      <c r="J181" s="214"/>
      <c r="K181" s="214"/>
      <c r="L181" s="214">
        <f>'ИСПОЛНЕНИЕ 1 КВ.'!H181+'ИСПОЛНЕНИЕ 2 КВ. '!I181</f>
        <v>0</v>
      </c>
      <c r="M181" s="214"/>
    </row>
    <row r="182" spans="1:13" s="21" customFormat="1" ht="18" customHeight="1">
      <c r="A182" s="87" t="s">
        <v>37</v>
      </c>
      <c r="B182" s="20" t="s">
        <v>145</v>
      </c>
      <c r="C182" s="20" t="s">
        <v>232</v>
      </c>
      <c r="D182" s="20" t="s">
        <v>175</v>
      </c>
      <c r="E182" s="20" t="s">
        <v>38</v>
      </c>
      <c r="F182" s="20"/>
      <c r="G182" s="214">
        <f>H182+I182+J182+K182</f>
        <v>87000</v>
      </c>
      <c r="H182" s="214">
        <f aca="true" t="shared" si="7" ref="H182:M182">H183+H184+H185</f>
        <v>0</v>
      </c>
      <c r="I182" s="214">
        <f t="shared" si="7"/>
        <v>30000</v>
      </c>
      <c r="J182" s="214">
        <f t="shared" si="7"/>
        <v>10000</v>
      </c>
      <c r="K182" s="214">
        <f t="shared" si="7"/>
        <v>47000</v>
      </c>
      <c r="L182" s="214">
        <f>'ИСПОЛНЕНИЕ 1 КВ.'!H182+'ИСПОЛНЕНИЕ 2 КВ. '!I182</f>
        <v>12500</v>
      </c>
      <c r="M182" s="214">
        <f t="shared" si="7"/>
        <v>74500</v>
      </c>
    </row>
    <row r="183" spans="1:13" s="21" customFormat="1" ht="36.75" customHeight="1">
      <c r="A183" s="11" t="s">
        <v>352</v>
      </c>
      <c r="B183" s="20"/>
      <c r="C183" s="20"/>
      <c r="D183" s="20"/>
      <c r="E183" s="20"/>
      <c r="F183" s="153" t="s">
        <v>381</v>
      </c>
      <c r="G183" s="214">
        <f>H183+I183+J183+K183</f>
        <v>87000</v>
      </c>
      <c r="H183" s="214"/>
      <c r="I183" s="214">
        <v>30000</v>
      </c>
      <c r="J183" s="214">
        <v>10000</v>
      </c>
      <c r="K183" s="214">
        <v>47000</v>
      </c>
      <c r="L183" s="214">
        <f>'ИСПОЛНЕНИЕ 1 КВ.'!H183+'ИСПОЛНЕНИЕ 2 КВ. '!I183</f>
        <v>12500</v>
      </c>
      <c r="M183" s="214">
        <f>G183-L183</f>
        <v>74500</v>
      </c>
    </row>
    <row r="184" spans="1:13" s="21" customFormat="1" ht="39" customHeight="1">
      <c r="A184" s="19" t="s">
        <v>353</v>
      </c>
      <c r="B184" s="20"/>
      <c r="C184" s="20"/>
      <c r="D184" s="20"/>
      <c r="E184" s="20"/>
      <c r="F184" s="20" t="s">
        <v>382</v>
      </c>
      <c r="G184" s="214"/>
      <c r="H184" s="214"/>
      <c r="I184" s="214"/>
      <c r="J184" s="214"/>
      <c r="K184" s="214"/>
      <c r="L184" s="214">
        <f>'ИСПОЛНЕНИЕ 1 КВ.'!H184+'ИСПОЛНЕНИЕ 2 КВ. '!I184</f>
        <v>0</v>
      </c>
      <c r="M184" s="214"/>
    </row>
    <row r="185" spans="1:13" s="21" customFormat="1" ht="26.25" customHeight="1">
      <c r="A185" s="12" t="s">
        <v>354</v>
      </c>
      <c r="B185" s="20"/>
      <c r="C185" s="20"/>
      <c r="D185" s="20"/>
      <c r="E185" s="20"/>
      <c r="F185" s="20" t="s">
        <v>382</v>
      </c>
      <c r="G185" s="214"/>
      <c r="H185" s="214"/>
      <c r="I185" s="214"/>
      <c r="J185" s="214"/>
      <c r="K185" s="214"/>
      <c r="L185" s="214">
        <f>'ИСПОЛНЕНИЕ 1 КВ.'!H185+'ИСПОЛНЕНИЕ 2 КВ. '!I185</f>
        <v>0</v>
      </c>
      <c r="M185" s="214"/>
    </row>
    <row r="186" spans="1:13" s="21" customFormat="1" ht="16.5" customHeight="1">
      <c r="A186" s="43" t="s">
        <v>42</v>
      </c>
      <c r="B186" s="14" t="s">
        <v>145</v>
      </c>
      <c r="C186" s="14" t="s">
        <v>232</v>
      </c>
      <c r="D186" s="14" t="s">
        <v>175</v>
      </c>
      <c r="E186" s="14" t="s">
        <v>43</v>
      </c>
      <c r="F186" s="20"/>
      <c r="G186" s="214"/>
      <c r="H186" s="214"/>
      <c r="I186" s="214"/>
      <c r="J186" s="214"/>
      <c r="K186" s="214"/>
      <c r="L186" s="214">
        <f>'ИСПОЛНЕНИЕ 1 КВ.'!H186+'ИСПОЛНЕНИЕ 2 КВ. '!I186</f>
        <v>0</v>
      </c>
      <c r="M186" s="214"/>
    </row>
    <row r="187" spans="1:13" s="21" customFormat="1" ht="16.5" customHeight="1">
      <c r="A187" s="87" t="s">
        <v>44</v>
      </c>
      <c r="B187" s="20" t="s">
        <v>145</v>
      </c>
      <c r="C187" s="20" t="s">
        <v>232</v>
      </c>
      <c r="D187" s="20" t="s">
        <v>175</v>
      </c>
      <c r="E187" s="20" t="s">
        <v>45</v>
      </c>
      <c r="F187" s="20" t="s">
        <v>369</v>
      </c>
      <c r="G187" s="214"/>
      <c r="H187" s="214"/>
      <c r="I187" s="214"/>
      <c r="J187" s="214"/>
      <c r="K187" s="214"/>
      <c r="L187" s="214">
        <f>'ИСПОЛНЕНИЕ 1 КВ.'!H187+'ИСПОЛНЕНИЕ 2 КВ. '!I187</f>
        <v>0</v>
      </c>
      <c r="M187" s="214"/>
    </row>
    <row r="188" spans="1:13" s="21" customFormat="1" ht="15" customHeight="1">
      <c r="A188" s="6" t="s">
        <v>355</v>
      </c>
      <c r="B188" s="20"/>
      <c r="C188" s="20"/>
      <c r="D188" s="20"/>
      <c r="E188" s="20"/>
      <c r="F188" s="20"/>
      <c r="G188" s="214"/>
      <c r="H188" s="214"/>
      <c r="I188" s="214"/>
      <c r="J188" s="214"/>
      <c r="K188" s="214"/>
      <c r="L188" s="214">
        <f>'ИСПОЛНЕНИЕ 1 КВ.'!H188+'ИСПОЛНЕНИЕ 2 КВ. '!I188</f>
        <v>0</v>
      </c>
      <c r="M188" s="214"/>
    </row>
    <row r="189" spans="1:13" s="21" customFormat="1" ht="16.5" customHeight="1">
      <c r="A189" s="43" t="s">
        <v>47</v>
      </c>
      <c r="B189" s="14" t="s">
        <v>145</v>
      </c>
      <c r="C189" s="14" t="s">
        <v>232</v>
      </c>
      <c r="D189" s="14" t="s">
        <v>175</v>
      </c>
      <c r="E189" s="14" t="s">
        <v>48</v>
      </c>
      <c r="F189" s="20"/>
      <c r="G189" s="211">
        <f>H189+I189+J189+K189</f>
        <v>172000</v>
      </c>
      <c r="H189" s="211">
        <f aca="true" t="shared" si="8" ref="H189:M189">H190</f>
        <v>43000</v>
      </c>
      <c r="I189" s="211">
        <f t="shared" si="8"/>
        <v>43000</v>
      </c>
      <c r="J189" s="211">
        <f t="shared" si="8"/>
        <v>43000</v>
      </c>
      <c r="K189" s="211">
        <f t="shared" si="8"/>
        <v>43000</v>
      </c>
      <c r="L189" s="211">
        <f t="shared" si="8"/>
        <v>68149.32</v>
      </c>
      <c r="M189" s="211">
        <f t="shared" si="8"/>
        <v>103850.68</v>
      </c>
    </row>
    <row r="190" spans="1:13" s="21" customFormat="1" ht="24.75" customHeight="1">
      <c r="A190" s="12" t="s">
        <v>354</v>
      </c>
      <c r="B190" s="20"/>
      <c r="C190" s="20"/>
      <c r="D190" s="20"/>
      <c r="E190" s="20"/>
      <c r="F190" s="153" t="s">
        <v>369</v>
      </c>
      <c r="G190" s="214">
        <f>H190+I190+J190+K190</f>
        <v>172000</v>
      </c>
      <c r="H190" s="214">
        <v>43000</v>
      </c>
      <c r="I190" s="214">
        <v>43000</v>
      </c>
      <c r="J190" s="214">
        <v>43000</v>
      </c>
      <c r="K190" s="214">
        <v>43000</v>
      </c>
      <c r="L190" s="214">
        <f>'ИСПОЛНЕНИЕ 1 КВ.'!H190+'ИСПОЛНЕНИЕ 2 КВ. '!I190</f>
        <v>68149.32</v>
      </c>
      <c r="M190" s="214">
        <f>G190-L190</f>
        <v>103850.68</v>
      </c>
    </row>
    <row r="191" spans="1:13" s="21" customFormat="1" ht="14.25" customHeight="1">
      <c r="A191" s="43" t="s">
        <v>49</v>
      </c>
      <c r="B191" s="14" t="s">
        <v>145</v>
      </c>
      <c r="C191" s="14" t="s">
        <v>232</v>
      </c>
      <c r="D191" s="14" t="s">
        <v>175</v>
      </c>
      <c r="E191" s="14" t="s">
        <v>50</v>
      </c>
      <c r="F191" s="20"/>
      <c r="G191" s="211">
        <f>H191+I191+J191+K191</f>
        <v>364500</v>
      </c>
      <c r="H191" s="211">
        <f aca="true" t="shared" si="9" ref="H191:M191">H192+H196</f>
        <v>144750</v>
      </c>
      <c r="I191" s="211">
        <f t="shared" si="9"/>
        <v>37500</v>
      </c>
      <c r="J191" s="211">
        <f t="shared" si="9"/>
        <v>144750</v>
      </c>
      <c r="K191" s="211">
        <f t="shared" si="9"/>
        <v>37500</v>
      </c>
      <c r="L191" s="211">
        <f t="shared" si="9"/>
        <v>76699</v>
      </c>
      <c r="M191" s="211">
        <f t="shared" si="9"/>
        <v>287801</v>
      </c>
    </row>
    <row r="192" spans="1:13" s="21" customFormat="1" ht="15.75" customHeight="1">
      <c r="A192" s="87" t="s">
        <v>51</v>
      </c>
      <c r="B192" s="20" t="s">
        <v>145</v>
      </c>
      <c r="C192" s="20" t="s">
        <v>232</v>
      </c>
      <c r="D192" s="20" t="s">
        <v>175</v>
      </c>
      <c r="E192" s="20" t="s">
        <v>52</v>
      </c>
      <c r="F192" s="20"/>
      <c r="G192" s="214">
        <f>H192+I192+J192+K192</f>
        <v>214500</v>
      </c>
      <c r="H192" s="214">
        <f aca="true" t="shared" si="10" ref="H192:M192">H195</f>
        <v>107250</v>
      </c>
      <c r="I192" s="214">
        <f t="shared" si="10"/>
        <v>0</v>
      </c>
      <c r="J192" s="214">
        <f t="shared" si="10"/>
        <v>107250</v>
      </c>
      <c r="K192" s="214">
        <f t="shared" si="10"/>
        <v>0</v>
      </c>
      <c r="L192" s="214">
        <f>'ИСПОЛНЕНИЕ 1 КВ.'!H192+'ИСПОЛНЕНИЕ 2 КВ. '!I192</f>
        <v>1537</v>
      </c>
      <c r="M192" s="214">
        <f t="shared" si="10"/>
        <v>212963</v>
      </c>
    </row>
    <row r="193" spans="1:13" s="21" customFormat="1" ht="14.25" customHeight="1">
      <c r="A193" s="7" t="s">
        <v>356</v>
      </c>
      <c r="B193" s="20"/>
      <c r="C193" s="20"/>
      <c r="D193" s="20"/>
      <c r="E193" s="20"/>
      <c r="F193" s="20"/>
      <c r="G193" s="214"/>
      <c r="H193" s="214"/>
      <c r="I193" s="214"/>
      <c r="J193" s="214"/>
      <c r="K193" s="214"/>
      <c r="L193" s="214">
        <f>'ИСПОЛНЕНИЕ 1 КВ.'!H193+'ИСПОЛНЕНИЕ 2 КВ. '!I193</f>
        <v>0</v>
      </c>
      <c r="M193" s="214"/>
    </row>
    <row r="194" spans="1:13" s="21" customFormat="1" ht="27" customHeight="1">
      <c r="A194" s="7" t="s">
        <v>54</v>
      </c>
      <c r="B194" s="20"/>
      <c r="C194" s="20"/>
      <c r="D194" s="20"/>
      <c r="E194" s="20"/>
      <c r="F194" s="20" t="s">
        <v>384</v>
      </c>
      <c r="G194" s="214"/>
      <c r="H194" s="214"/>
      <c r="I194" s="214"/>
      <c r="J194" s="214"/>
      <c r="K194" s="214"/>
      <c r="L194" s="214">
        <f>'ИСПОЛНЕНИЕ 1 КВ.'!H194+'ИСПОЛНЕНИЕ 2 КВ. '!I194</f>
        <v>0</v>
      </c>
      <c r="M194" s="214"/>
    </row>
    <row r="195" spans="1:13" s="21" customFormat="1" ht="24.75" customHeight="1">
      <c r="A195" s="7" t="s">
        <v>55</v>
      </c>
      <c r="B195" s="20"/>
      <c r="C195" s="20"/>
      <c r="D195" s="20"/>
      <c r="E195" s="20"/>
      <c r="F195" s="20" t="s">
        <v>385</v>
      </c>
      <c r="G195" s="214">
        <f>H195+I195+J195+K195</f>
        <v>214500</v>
      </c>
      <c r="H195" s="214">
        <v>107250</v>
      </c>
      <c r="I195" s="214"/>
      <c r="J195" s="214">
        <v>107250</v>
      </c>
      <c r="K195" s="214"/>
      <c r="L195" s="214">
        <f>'ИСПОЛНЕНИЕ 1 КВ.'!H195+'ИСПОЛНЕНИЕ 2 КВ. '!I195</f>
        <v>1537</v>
      </c>
      <c r="M195" s="214">
        <f>G195-L195</f>
        <v>212963</v>
      </c>
    </row>
    <row r="196" spans="1:13" s="21" customFormat="1" ht="21.75" customHeight="1">
      <c r="A196" s="87" t="s">
        <v>56</v>
      </c>
      <c r="B196" s="20" t="s">
        <v>145</v>
      </c>
      <c r="C196" s="20" t="s">
        <v>232</v>
      </c>
      <c r="D196" s="20" t="s">
        <v>175</v>
      </c>
      <c r="E196" s="20" t="s">
        <v>57</v>
      </c>
      <c r="F196" s="20"/>
      <c r="G196" s="214">
        <f>H196+I196+J196+K196</f>
        <v>150000</v>
      </c>
      <c r="H196" s="214">
        <f aca="true" t="shared" si="11" ref="H196:M196">H197+H198+H200</f>
        <v>37500</v>
      </c>
      <c r="I196" s="214">
        <f t="shared" si="11"/>
        <v>37500</v>
      </c>
      <c r="J196" s="214">
        <f t="shared" si="11"/>
        <v>37500</v>
      </c>
      <c r="K196" s="214">
        <f t="shared" si="11"/>
        <v>37500</v>
      </c>
      <c r="L196" s="214">
        <f>'ИСПОЛНЕНИЕ 1 КВ.'!H196+'ИСПОЛНЕНИЕ 2 КВ. '!I196</f>
        <v>75162</v>
      </c>
      <c r="M196" s="214">
        <f t="shared" si="11"/>
        <v>74838</v>
      </c>
    </row>
    <row r="197" spans="1:13" s="21" customFormat="1" ht="24.75" customHeight="1">
      <c r="A197" s="7" t="s">
        <v>357</v>
      </c>
      <c r="B197" s="20"/>
      <c r="C197" s="20"/>
      <c r="D197" s="20"/>
      <c r="E197" s="20"/>
      <c r="F197" s="20" t="s">
        <v>386</v>
      </c>
      <c r="G197" s="214"/>
      <c r="H197" s="214"/>
      <c r="I197" s="214"/>
      <c r="J197" s="214"/>
      <c r="K197" s="214"/>
      <c r="L197" s="214">
        <f>'ИСПОЛНЕНИЕ 1 КВ.'!H197+'ИСПОЛНЕНИЕ 2 КВ. '!I197</f>
        <v>0</v>
      </c>
      <c r="M197" s="214"/>
    </row>
    <row r="198" spans="1:13" s="21" customFormat="1" ht="13.5" customHeight="1">
      <c r="A198" s="7" t="s">
        <v>358</v>
      </c>
      <c r="B198" s="20"/>
      <c r="C198" s="20"/>
      <c r="D198" s="20"/>
      <c r="E198" s="20"/>
      <c r="F198" s="20" t="s">
        <v>387</v>
      </c>
      <c r="G198" s="214"/>
      <c r="H198" s="214"/>
      <c r="I198" s="214"/>
      <c r="J198" s="214"/>
      <c r="K198" s="214"/>
      <c r="L198" s="214">
        <f>'ИСПОЛНЕНИЕ 1 КВ.'!H198+'ИСПОЛНЕНИЕ 2 КВ. '!I198</f>
        <v>0</v>
      </c>
      <c r="M198" s="214"/>
    </row>
    <row r="199" spans="1:13" s="21" customFormat="1" ht="15" customHeight="1">
      <c r="A199" s="7" t="s">
        <v>359</v>
      </c>
      <c r="B199" s="20"/>
      <c r="C199" s="20"/>
      <c r="D199" s="20"/>
      <c r="E199" s="20"/>
      <c r="F199" s="20" t="s">
        <v>388</v>
      </c>
      <c r="G199" s="214"/>
      <c r="H199" s="214"/>
      <c r="I199" s="214"/>
      <c r="J199" s="214"/>
      <c r="K199" s="214"/>
      <c r="L199" s="214">
        <f>'ИСПОЛНЕНИЕ 1 КВ.'!H199+'ИСПОЛНЕНИЕ 2 КВ. '!I199</f>
        <v>0</v>
      </c>
      <c r="M199" s="214"/>
    </row>
    <row r="200" spans="1:13" s="21" customFormat="1" ht="13.5" customHeight="1">
      <c r="A200" s="7" t="s">
        <v>61</v>
      </c>
      <c r="B200" s="20"/>
      <c r="C200" s="20"/>
      <c r="D200" s="20"/>
      <c r="E200" s="20"/>
      <c r="F200" s="20" t="s">
        <v>389</v>
      </c>
      <c r="G200" s="214">
        <f aca="true" t="shared" si="12" ref="G200:G206">H200+I200+J200+K200</f>
        <v>150000</v>
      </c>
      <c r="H200" s="214">
        <v>37500</v>
      </c>
      <c r="I200" s="214">
        <v>37500</v>
      </c>
      <c r="J200" s="214">
        <v>37500</v>
      </c>
      <c r="K200" s="214">
        <v>37500</v>
      </c>
      <c r="L200" s="214">
        <f>'ИСПОЛНЕНИЕ 1 КВ.'!H200+'ИСПОЛНЕНИЕ 2 КВ. '!I200</f>
        <v>75162</v>
      </c>
      <c r="M200" s="214">
        <f>G200-L200</f>
        <v>74838</v>
      </c>
    </row>
    <row r="201" spans="1:13" s="32" customFormat="1" ht="24" customHeight="1">
      <c r="A201" s="111" t="s">
        <v>86</v>
      </c>
      <c r="B201" s="48" t="s">
        <v>146</v>
      </c>
      <c r="C201" s="48" t="s">
        <v>82</v>
      </c>
      <c r="D201" s="48" t="s">
        <v>2</v>
      </c>
      <c r="E201" s="48" t="s">
        <v>2</v>
      </c>
      <c r="F201" s="48"/>
      <c r="G201" s="217">
        <f t="shared" si="12"/>
        <v>23530636.902000003</v>
      </c>
      <c r="H201" s="217">
        <f aca="true" t="shared" si="13" ref="H201:M201">H258+H202</f>
        <v>7215290</v>
      </c>
      <c r="I201" s="217">
        <f t="shared" si="13"/>
        <v>6195062</v>
      </c>
      <c r="J201" s="217">
        <f t="shared" si="13"/>
        <v>4647098.8</v>
      </c>
      <c r="K201" s="217">
        <f t="shared" si="13"/>
        <v>5473186.102</v>
      </c>
      <c r="L201" s="217">
        <f t="shared" si="13"/>
        <v>14505759.86</v>
      </c>
      <c r="M201" s="217">
        <f t="shared" si="13"/>
        <v>9022973.141999999</v>
      </c>
    </row>
    <row r="202" spans="1:13" s="86" customFormat="1" ht="12.75" customHeight="1">
      <c r="A202" s="47" t="s">
        <v>174</v>
      </c>
      <c r="B202" s="121" t="s">
        <v>146</v>
      </c>
      <c r="C202" s="121" t="s">
        <v>82</v>
      </c>
      <c r="D202" s="121" t="s">
        <v>175</v>
      </c>
      <c r="E202" s="121" t="s">
        <v>2</v>
      </c>
      <c r="F202" s="121"/>
      <c r="G202" s="217">
        <f t="shared" si="12"/>
        <v>22636480.902000003</v>
      </c>
      <c r="H202" s="217">
        <f aca="true" t="shared" si="14" ref="H202:M202">H203+H210+H246+H248+H243</f>
        <v>6991751</v>
      </c>
      <c r="I202" s="217">
        <f t="shared" si="14"/>
        <v>5971523</v>
      </c>
      <c r="J202" s="217">
        <f t="shared" si="14"/>
        <v>4423560.8</v>
      </c>
      <c r="K202" s="217">
        <f t="shared" si="14"/>
        <v>5249646.102</v>
      </c>
      <c r="L202" s="217">
        <f t="shared" si="14"/>
        <v>13955596.16</v>
      </c>
      <c r="M202" s="217">
        <f t="shared" si="14"/>
        <v>8678980.841999998</v>
      </c>
    </row>
    <row r="203" spans="1:13" s="45" customFormat="1" ht="13.5" customHeight="1">
      <c r="A203" s="43" t="s">
        <v>4</v>
      </c>
      <c r="B203" s="44" t="s">
        <v>146</v>
      </c>
      <c r="C203" s="44" t="s">
        <v>82</v>
      </c>
      <c r="D203" s="44" t="s">
        <v>175</v>
      </c>
      <c r="E203" s="44" t="s">
        <v>5</v>
      </c>
      <c r="F203" s="44"/>
      <c r="G203" s="197">
        <f t="shared" si="12"/>
        <v>11025144.802</v>
      </c>
      <c r="H203" s="197">
        <f aca="true" t="shared" si="15" ref="H203:M203">SUM(H209,H204)+H205</f>
        <v>2489897.9</v>
      </c>
      <c r="I203" s="197">
        <f t="shared" si="15"/>
        <v>3368460</v>
      </c>
      <c r="J203" s="197">
        <f t="shared" si="15"/>
        <v>2674342.8</v>
      </c>
      <c r="K203" s="197">
        <f t="shared" si="15"/>
        <v>2492444.102</v>
      </c>
      <c r="L203" s="197">
        <f t="shared" si="15"/>
        <v>6936248.16</v>
      </c>
      <c r="M203" s="197">
        <f t="shared" si="15"/>
        <v>4088896.642</v>
      </c>
    </row>
    <row r="204" spans="1:13" s="28" customFormat="1" ht="12.75">
      <c r="A204" s="87" t="s">
        <v>6</v>
      </c>
      <c r="B204" s="27" t="s">
        <v>146</v>
      </c>
      <c r="C204" s="27" t="s">
        <v>82</v>
      </c>
      <c r="D204" s="27" t="s">
        <v>175</v>
      </c>
      <c r="E204" s="27" t="s">
        <v>7</v>
      </c>
      <c r="F204" s="27" t="s">
        <v>369</v>
      </c>
      <c r="G204" s="201">
        <f t="shared" si="12"/>
        <v>8068316</v>
      </c>
      <c r="H204" s="201">
        <f>1914950</f>
        <v>1914950</v>
      </c>
      <c r="I204" s="201">
        <v>2258500</v>
      </c>
      <c r="J204" s="201">
        <v>1977900</v>
      </c>
      <c r="K204" s="201">
        <f>1794232+122748-14</f>
        <v>1916966</v>
      </c>
      <c r="L204" s="214">
        <f>'ИСПОЛНЕНИЕ 1 КВ.'!H204+'ИСПОЛНЕНИЕ 2 КВ. '!I204</f>
        <v>5266571.83</v>
      </c>
      <c r="M204" s="201">
        <f>G204-L204</f>
        <v>2801744.17</v>
      </c>
    </row>
    <row r="205" spans="1:13" s="28" customFormat="1" ht="12.75">
      <c r="A205" s="87" t="s">
        <v>8</v>
      </c>
      <c r="B205" s="27" t="s">
        <v>146</v>
      </c>
      <c r="C205" s="27" t="s">
        <v>82</v>
      </c>
      <c r="D205" s="27" t="s">
        <v>175</v>
      </c>
      <c r="E205" s="27" t="s">
        <v>9</v>
      </c>
      <c r="F205" s="27"/>
      <c r="G205" s="201">
        <f t="shared" si="12"/>
        <v>842930</v>
      </c>
      <c r="H205" s="201">
        <f aca="true" t="shared" si="16" ref="H205:M205">SUM(H206:H208)</f>
        <v>73231</v>
      </c>
      <c r="I205" s="201">
        <f t="shared" si="16"/>
        <v>518233</v>
      </c>
      <c r="J205" s="201">
        <f t="shared" si="16"/>
        <v>178233</v>
      </c>
      <c r="K205" s="201">
        <f t="shared" si="16"/>
        <v>73233</v>
      </c>
      <c r="L205" s="214">
        <f>'ИСПОЛНЕНИЕ 1 КВ.'!H205+'ИСПОЛНЕНИЕ 2 КВ. '!I205</f>
        <v>502300</v>
      </c>
      <c r="M205" s="201">
        <f t="shared" si="16"/>
        <v>340630</v>
      </c>
    </row>
    <row r="206" spans="1:13" ht="25.5">
      <c r="A206" s="11" t="s">
        <v>360</v>
      </c>
      <c r="B206" s="4"/>
      <c r="C206" s="4"/>
      <c r="D206" s="4"/>
      <c r="E206" s="4"/>
      <c r="F206" s="4" t="s">
        <v>371</v>
      </c>
      <c r="G206" s="200">
        <f t="shared" si="12"/>
        <v>72930</v>
      </c>
      <c r="H206" s="200">
        <v>18231</v>
      </c>
      <c r="I206" s="200">
        <v>18233</v>
      </c>
      <c r="J206" s="200">
        <v>18233</v>
      </c>
      <c r="K206" s="200">
        <v>18233</v>
      </c>
      <c r="L206" s="214">
        <f>'ИСПОЛНЕНИЕ 1 КВ.'!H206+'ИСПОЛНЕНИЕ 2 КВ. '!I206</f>
        <v>54400</v>
      </c>
      <c r="M206" s="200">
        <f>G206-L206</f>
        <v>18530</v>
      </c>
    </row>
    <row r="207" spans="1:13" ht="12.75" customHeight="1">
      <c r="A207" s="12" t="s">
        <v>343</v>
      </c>
      <c r="B207" s="4"/>
      <c r="C207" s="4"/>
      <c r="D207" s="4"/>
      <c r="E207" s="4"/>
      <c r="F207" s="4" t="s">
        <v>390</v>
      </c>
      <c r="G207" s="200">
        <f>SUM(H207:H207)</f>
        <v>0</v>
      </c>
      <c r="H207" s="200"/>
      <c r="I207" s="200"/>
      <c r="J207" s="200"/>
      <c r="K207" s="200"/>
      <c r="L207" s="214">
        <f>'ИСПОЛНЕНИЕ 1 КВ.'!H207+'ИСПОЛНЕНИЕ 2 КВ. '!I207</f>
        <v>0</v>
      </c>
      <c r="M207" s="200">
        <f>G207-L207</f>
        <v>0</v>
      </c>
    </row>
    <row r="208" spans="1:13" ht="24.75" customHeight="1">
      <c r="A208" s="6" t="s">
        <v>361</v>
      </c>
      <c r="B208" s="4"/>
      <c r="C208" s="4"/>
      <c r="D208" s="4"/>
      <c r="E208" s="4"/>
      <c r="F208" s="4" t="s">
        <v>370</v>
      </c>
      <c r="G208" s="200">
        <f aca="true" t="shared" si="17" ref="G208:G215">H208+I208+J208+K208</f>
        <v>770000</v>
      </c>
      <c r="H208" s="200">
        <v>55000</v>
      </c>
      <c r="I208" s="200">
        <v>500000</v>
      </c>
      <c r="J208" s="200">
        <v>160000</v>
      </c>
      <c r="K208" s="200">
        <v>55000</v>
      </c>
      <c r="L208" s="214">
        <f>'ИСПОЛНЕНИЕ 1 КВ.'!H208+'ИСПОЛНЕНИЕ 2 КВ. '!I208</f>
        <v>447900</v>
      </c>
      <c r="M208" s="200">
        <f>G208-L208</f>
        <v>322100</v>
      </c>
    </row>
    <row r="209" spans="1:13" s="28" customFormat="1" ht="12.75">
      <c r="A209" s="87" t="s">
        <v>13</v>
      </c>
      <c r="B209" s="27" t="s">
        <v>146</v>
      </c>
      <c r="C209" s="27" t="s">
        <v>82</v>
      </c>
      <c r="D209" s="27" t="s">
        <v>175</v>
      </c>
      <c r="E209" s="27" t="s">
        <v>14</v>
      </c>
      <c r="F209" s="27" t="s">
        <v>369</v>
      </c>
      <c r="G209" s="259">
        <f t="shared" si="17"/>
        <v>2113898.802</v>
      </c>
      <c r="H209" s="201">
        <f>H204*26.2%</f>
        <v>501716.9</v>
      </c>
      <c r="I209" s="201">
        <f>I204*26.2%</f>
        <v>591727</v>
      </c>
      <c r="J209" s="201">
        <f>J204*26.2%</f>
        <v>518209.80000000005</v>
      </c>
      <c r="K209" s="201">
        <f>K204*26.2%+0.01</f>
        <v>502245.102</v>
      </c>
      <c r="L209" s="214">
        <f>'ИСПОЛНЕНИЕ 1 КВ.'!H209+'ИСПОЛНЕНИЕ 2 КВ. '!I209</f>
        <v>1167376.33</v>
      </c>
      <c r="M209" s="200">
        <f>G209-L209</f>
        <v>946522.4720000001</v>
      </c>
    </row>
    <row r="210" spans="1:13" s="45" customFormat="1" ht="12.75">
      <c r="A210" s="43" t="s">
        <v>15</v>
      </c>
      <c r="B210" s="44" t="s">
        <v>146</v>
      </c>
      <c r="C210" s="44" t="s">
        <v>82</v>
      </c>
      <c r="D210" s="44" t="s">
        <v>175</v>
      </c>
      <c r="E210" s="44" t="s">
        <v>16</v>
      </c>
      <c r="F210" s="44"/>
      <c r="G210" s="197">
        <f t="shared" si="17"/>
        <v>8933336.1</v>
      </c>
      <c r="H210" s="197">
        <f aca="true" t="shared" si="18" ref="H210:M210">SUM(H211,H212,H215,H220,H226)</f>
        <v>3419728.1</v>
      </c>
      <c r="I210" s="197">
        <f t="shared" si="18"/>
        <v>1656188</v>
      </c>
      <c r="J210" s="197">
        <f t="shared" si="18"/>
        <v>1329343</v>
      </c>
      <c r="K210" s="197">
        <f t="shared" si="18"/>
        <v>2528077</v>
      </c>
      <c r="L210" s="197">
        <f t="shared" si="18"/>
        <v>4924687.609999999</v>
      </c>
      <c r="M210" s="197">
        <f t="shared" si="18"/>
        <v>4006744.59</v>
      </c>
    </row>
    <row r="211" spans="1:13" s="28" customFormat="1" ht="12.75">
      <c r="A211" s="87" t="s">
        <v>341</v>
      </c>
      <c r="B211" s="27" t="s">
        <v>146</v>
      </c>
      <c r="C211" s="27" t="s">
        <v>82</v>
      </c>
      <c r="D211" s="27" t="s">
        <v>175</v>
      </c>
      <c r="E211" s="27" t="s">
        <v>18</v>
      </c>
      <c r="F211" s="27" t="s">
        <v>369</v>
      </c>
      <c r="G211" s="201">
        <f t="shared" si="17"/>
        <v>732612</v>
      </c>
      <c r="H211" s="201">
        <v>183153</v>
      </c>
      <c r="I211" s="201">
        <v>183153</v>
      </c>
      <c r="J211" s="201">
        <v>183153</v>
      </c>
      <c r="K211" s="201">
        <v>183153</v>
      </c>
      <c r="L211" s="214">
        <f>'ИСПОЛНЕНИЕ 1 КВ.'!H211+'ИСПОЛНЕНИЕ 2 КВ. '!I211</f>
        <v>281921.13</v>
      </c>
      <c r="M211" s="201">
        <f>G211-L211</f>
        <v>450690.87</v>
      </c>
    </row>
    <row r="212" spans="1:13" s="28" customFormat="1" ht="12.75">
      <c r="A212" s="87" t="s">
        <v>21</v>
      </c>
      <c r="B212" s="27" t="s">
        <v>146</v>
      </c>
      <c r="C212" s="27" t="s">
        <v>82</v>
      </c>
      <c r="D212" s="27" t="s">
        <v>175</v>
      </c>
      <c r="E212" s="27" t="s">
        <v>19</v>
      </c>
      <c r="F212" s="27"/>
      <c r="G212" s="219">
        <f t="shared" si="17"/>
        <v>747789</v>
      </c>
      <c r="H212" s="219">
        <f aca="true" t="shared" si="19" ref="H212:M212">SUM(H213:H214)</f>
        <v>380950</v>
      </c>
      <c r="I212" s="219">
        <f t="shared" si="19"/>
        <v>120950</v>
      </c>
      <c r="J212" s="219">
        <f t="shared" si="19"/>
        <v>120950</v>
      </c>
      <c r="K212" s="219">
        <f t="shared" si="19"/>
        <v>124939</v>
      </c>
      <c r="L212" s="219">
        <f t="shared" si="19"/>
        <v>795315.97</v>
      </c>
      <c r="M212" s="219">
        <f t="shared" si="19"/>
        <v>-47526.97000000003</v>
      </c>
    </row>
    <row r="213" spans="1:13" ht="25.5">
      <c r="A213" s="11" t="s">
        <v>344</v>
      </c>
      <c r="B213" s="4"/>
      <c r="C213" s="4"/>
      <c r="D213" s="4"/>
      <c r="E213" s="4"/>
      <c r="F213" s="4" t="s">
        <v>372</v>
      </c>
      <c r="G213" s="200">
        <f t="shared" si="17"/>
        <v>487789</v>
      </c>
      <c r="H213" s="200">
        <v>120950</v>
      </c>
      <c r="I213" s="200">
        <v>120950</v>
      </c>
      <c r="J213" s="200">
        <v>120950</v>
      </c>
      <c r="K213" s="200">
        <f>120950+3989</f>
        <v>124939</v>
      </c>
      <c r="L213" s="214">
        <f>'ИСПОЛНЕНИЕ 1 КВ.'!H213+'ИСПОЛНЕНИЕ 2 КВ. '!I213</f>
        <v>383887.7</v>
      </c>
      <c r="M213" s="200">
        <f>G213-L213</f>
        <v>103901.29999999999</v>
      </c>
    </row>
    <row r="214" spans="1:13" ht="38.25">
      <c r="A214" s="8" t="s">
        <v>362</v>
      </c>
      <c r="B214" s="4"/>
      <c r="C214" s="4"/>
      <c r="D214" s="4"/>
      <c r="E214" s="4"/>
      <c r="F214" s="4" t="s">
        <v>374</v>
      </c>
      <c r="G214" s="200">
        <f t="shared" si="17"/>
        <v>260000</v>
      </c>
      <c r="H214" s="200">
        <f>65000+195000</f>
        <v>260000</v>
      </c>
      <c r="I214" s="200">
        <f>65000-65000</f>
        <v>0</v>
      </c>
      <c r="J214" s="200">
        <f>65000-65000</f>
        <v>0</v>
      </c>
      <c r="K214" s="200">
        <f>65000-65000</f>
        <v>0</v>
      </c>
      <c r="L214" s="214">
        <f>'ИСПОЛНЕНИЕ 1 КВ.'!H214+'ИСПОЛНЕНИЕ 2 КВ. '!I214</f>
        <v>411428.27</v>
      </c>
      <c r="M214" s="200">
        <f>G214-L214</f>
        <v>-151428.27000000002</v>
      </c>
    </row>
    <row r="215" spans="1:13" s="28" customFormat="1" ht="12.75">
      <c r="A215" s="87" t="s">
        <v>23</v>
      </c>
      <c r="B215" s="27" t="s">
        <v>146</v>
      </c>
      <c r="C215" s="27" t="s">
        <v>82</v>
      </c>
      <c r="D215" s="27" t="s">
        <v>175</v>
      </c>
      <c r="E215" s="27" t="s">
        <v>24</v>
      </c>
      <c r="F215" s="27"/>
      <c r="G215" s="219">
        <f t="shared" si="17"/>
        <v>3949200.1</v>
      </c>
      <c r="H215" s="219">
        <f aca="true" t="shared" si="20" ref="H215:M215">SUM(H216:H218)</f>
        <v>1670650.1</v>
      </c>
      <c r="I215" s="219">
        <f t="shared" si="20"/>
        <v>591430</v>
      </c>
      <c r="J215" s="219">
        <f t="shared" si="20"/>
        <v>228435</v>
      </c>
      <c r="K215" s="219">
        <f t="shared" si="20"/>
        <v>1458685</v>
      </c>
      <c r="L215" s="219">
        <f t="shared" si="20"/>
        <v>1348884.88</v>
      </c>
      <c r="M215" s="219">
        <f t="shared" si="20"/>
        <v>2600315.22</v>
      </c>
    </row>
    <row r="216" spans="1:13" ht="12.75" customHeight="1">
      <c r="A216" s="7" t="s">
        <v>345</v>
      </c>
      <c r="B216" s="4"/>
      <c r="C216" s="4"/>
      <c r="D216" s="4"/>
      <c r="E216" s="4"/>
      <c r="F216" s="4" t="s">
        <v>373</v>
      </c>
      <c r="G216" s="200">
        <f>H216+I216+K216+J216</f>
        <v>3734160</v>
      </c>
      <c r="H216" s="200">
        <v>1608785</v>
      </c>
      <c r="I216" s="200">
        <v>542465</v>
      </c>
      <c r="J216" s="200">
        <v>179300</v>
      </c>
      <c r="K216" s="200">
        <v>1403610</v>
      </c>
      <c r="L216" s="214">
        <f>'ИСПОЛНЕНИЕ 1 КВ.'!H216+'ИСПОЛНЕНИЕ 2 КВ. '!I216</f>
        <v>1333229.73</v>
      </c>
      <c r="M216" s="200">
        <f>G216-L216</f>
        <v>2400930.27</v>
      </c>
    </row>
    <row r="217" spans="1:13" ht="12.75" customHeight="1">
      <c r="A217" s="7" t="s">
        <v>346</v>
      </c>
      <c r="B217" s="4"/>
      <c r="C217" s="4"/>
      <c r="D217" s="4"/>
      <c r="E217" s="4"/>
      <c r="F217" s="4" t="s">
        <v>375</v>
      </c>
      <c r="G217" s="200">
        <f>H217+I217+J217+K217</f>
        <v>156610</v>
      </c>
      <c r="H217" s="200">
        <v>47300</v>
      </c>
      <c r="I217" s="200">
        <v>34400</v>
      </c>
      <c r="J217" s="200">
        <v>34400</v>
      </c>
      <c r="K217" s="200">
        <v>40510</v>
      </c>
      <c r="L217" s="214">
        <f>'ИСПОЛНЕНИЕ 1 КВ.'!H217+'ИСПОЛНЕНИЕ 2 КВ. '!I217</f>
        <v>0</v>
      </c>
      <c r="M217" s="200">
        <f>G217-L217</f>
        <v>156610</v>
      </c>
    </row>
    <row r="218" spans="1:13" ht="12.75">
      <c r="A218" s="7" t="s">
        <v>347</v>
      </c>
      <c r="B218" s="4"/>
      <c r="C218" s="4"/>
      <c r="D218" s="4"/>
      <c r="E218" s="4"/>
      <c r="F218" s="4" t="s">
        <v>376</v>
      </c>
      <c r="G218" s="200">
        <f>H218+I218+J218+K218</f>
        <v>58430.1</v>
      </c>
      <c r="H218" s="200">
        <f>12630+1935+0.1</f>
        <v>14565.1</v>
      </c>
      <c r="I218" s="200">
        <f>12630+1935</f>
        <v>14565</v>
      </c>
      <c r="J218" s="200">
        <f>12800+1935</f>
        <v>14735</v>
      </c>
      <c r="K218" s="200">
        <f>12630+1935</f>
        <v>14565</v>
      </c>
      <c r="L218" s="214">
        <f>'ИСПОЛНЕНИЕ 1 КВ.'!H218+'ИСПОЛНЕНИЕ 2 КВ. '!I218</f>
        <v>15655.15</v>
      </c>
      <c r="M218" s="200">
        <f>G218-L218</f>
        <v>42774.95</v>
      </c>
    </row>
    <row r="219" spans="1:13" s="28" customFormat="1" ht="15" customHeight="1">
      <c r="A219" s="87" t="s">
        <v>28</v>
      </c>
      <c r="B219" s="27" t="s">
        <v>146</v>
      </c>
      <c r="C219" s="27" t="s">
        <v>82</v>
      </c>
      <c r="D219" s="27" t="s">
        <v>175</v>
      </c>
      <c r="E219" s="27" t="s">
        <v>29</v>
      </c>
      <c r="F219" s="27"/>
      <c r="G219" s="201">
        <f>SUM(H219:H219)</f>
        <v>0</v>
      </c>
      <c r="H219" s="201"/>
      <c r="I219" s="201"/>
      <c r="J219" s="201"/>
      <c r="K219" s="201"/>
      <c r="L219" s="214">
        <f>'ИСПОЛНЕНИЕ 1 КВ.'!H219+'ИСПОЛНЕНИЕ 2 КВ. '!I219</f>
        <v>0</v>
      </c>
      <c r="M219" s="201"/>
    </row>
    <row r="220" spans="1:13" s="28" customFormat="1" ht="12.75">
      <c r="A220" s="87" t="s">
        <v>30</v>
      </c>
      <c r="B220" s="27" t="s">
        <v>146</v>
      </c>
      <c r="C220" s="27" t="s">
        <v>82</v>
      </c>
      <c r="D220" s="27" t="s">
        <v>175</v>
      </c>
      <c r="E220" s="27" t="s">
        <v>31</v>
      </c>
      <c r="F220" s="27"/>
      <c r="G220" s="214">
        <f>H220+I220+J220+K220</f>
        <v>1166522</v>
      </c>
      <c r="H220" s="214">
        <f aca="true" t="shared" si="21" ref="H220:M220">SUM(H221:H225)</f>
        <v>419130</v>
      </c>
      <c r="I220" s="214">
        <f t="shared" si="21"/>
        <v>219130</v>
      </c>
      <c r="J220" s="214">
        <f t="shared" si="21"/>
        <v>309130</v>
      </c>
      <c r="K220" s="214">
        <f t="shared" si="21"/>
        <v>219132</v>
      </c>
      <c r="L220" s="214">
        <f>'ИСПОЛНЕНИЕ 1 КВ.'!H220+'ИСПОЛНЕНИЕ 2 КВ. '!I220</f>
        <v>660821.62</v>
      </c>
      <c r="M220" s="214">
        <f t="shared" si="21"/>
        <v>503796.48</v>
      </c>
    </row>
    <row r="221" spans="1:13" s="18" customFormat="1" ht="12.75">
      <c r="A221" s="7" t="s">
        <v>348</v>
      </c>
      <c r="B221" s="17"/>
      <c r="C221" s="17"/>
      <c r="D221" s="17"/>
      <c r="E221" s="17"/>
      <c r="F221" s="17" t="s">
        <v>377</v>
      </c>
      <c r="G221" s="186">
        <f>H221+I221+J221+K221</f>
        <v>385802</v>
      </c>
      <c r="H221" s="186">
        <v>96450</v>
      </c>
      <c r="I221" s="186">
        <v>96450</v>
      </c>
      <c r="J221" s="186">
        <v>96450</v>
      </c>
      <c r="K221" s="186">
        <v>96452</v>
      </c>
      <c r="L221" s="214">
        <f>'ИСПОЛНЕНИЕ 1 КВ.'!H221+'ИСПОЛНЕНИЕ 2 КВ. '!I221</f>
        <v>187115.92</v>
      </c>
      <c r="M221" s="186">
        <f>G221-L221</f>
        <v>198686.08</v>
      </c>
    </row>
    <row r="222" spans="1:13" s="18" customFormat="1" ht="12.75">
      <c r="A222" s="7" t="s">
        <v>349</v>
      </c>
      <c r="B222" s="17"/>
      <c r="C222" s="17"/>
      <c r="D222" s="17"/>
      <c r="E222" s="17"/>
      <c r="F222" s="17" t="s">
        <v>376</v>
      </c>
      <c r="G222" s="186">
        <f>SUM(H222:H222)</f>
        <v>0</v>
      </c>
      <c r="H222" s="186"/>
      <c r="I222" s="186"/>
      <c r="J222" s="186"/>
      <c r="K222" s="186"/>
      <c r="L222" s="214">
        <f>'ИСПОЛНЕНИЕ 1 КВ.'!H222+'ИСПОЛНЕНИЕ 2 КВ. '!I222</f>
        <v>0</v>
      </c>
      <c r="M222" s="186">
        <f>G222-L222</f>
        <v>0</v>
      </c>
    </row>
    <row r="223" spans="1:13" s="18" customFormat="1" ht="25.5">
      <c r="A223" s="7" t="s">
        <v>350</v>
      </c>
      <c r="B223" s="17"/>
      <c r="C223" s="17"/>
      <c r="D223" s="17"/>
      <c r="E223" s="17"/>
      <c r="F223" s="17" t="s">
        <v>379</v>
      </c>
      <c r="G223" s="186">
        <f>H223+I223+J223+K223</f>
        <v>90720</v>
      </c>
      <c r="H223" s="186">
        <v>22680</v>
      </c>
      <c r="I223" s="186">
        <v>22680</v>
      </c>
      <c r="J223" s="186">
        <v>22680</v>
      </c>
      <c r="K223" s="186">
        <v>22680</v>
      </c>
      <c r="L223" s="214">
        <f>'ИСПОЛНЕНИЕ 1 КВ.'!H223+'ИСПОЛНЕНИЕ 2 КВ. '!I223</f>
        <v>68720.08</v>
      </c>
      <c r="M223" s="186">
        <f>G223-L223</f>
        <v>21999.92</v>
      </c>
    </row>
    <row r="224" spans="1:13" s="18" customFormat="1" ht="25.5">
      <c r="A224" s="7" t="s">
        <v>351</v>
      </c>
      <c r="B224" s="17"/>
      <c r="C224" s="17"/>
      <c r="D224" s="17"/>
      <c r="E224" s="17"/>
      <c r="F224" s="17" t="s">
        <v>380</v>
      </c>
      <c r="G224" s="186">
        <f>H224+I224+J224+K224</f>
        <v>690000</v>
      </c>
      <c r="H224" s="186">
        <f>150000+150000</f>
        <v>300000</v>
      </c>
      <c r="I224" s="186">
        <v>100000</v>
      </c>
      <c r="J224" s="186">
        <f>340000-150000</f>
        <v>190000</v>
      </c>
      <c r="K224" s="186">
        <v>100000</v>
      </c>
      <c r="L224" s="214">
        <f>'ИСПОЛНЕНИЕ 1 КВ.'!H224+'ИСПОЛНЕНИЕ 2 КВ. '!I224</f>
        <v>170248.27</v>
      </c>
      <c r="M224" s="186">
        <f>G224-L224</f>
        <v>519751.73</v>
      </c>
    </row>
    <row r="225" spans="1:13" s="18" customFormat="1" ht="51">
      <c r="A225" s="7" t="s">
        <v>363</v>
      </c>
      <c r="B225" s="17"/>
      <c r="C225" s="17"/>
      <c r="D225" s="17"/>
      <c r="E225" s="17"/>
      <c r="F225" s="17"/>
      <c r="G225" s="186">
        <v>0</v>
      </c>
      <c r="H225" s="186">
        <v>0</v>
      </c>
      <c r="I225" s="186">
        <v>0</v>
      </c>
      <c r="J225" s="186">
        <v>0</v>
      </c>
      <c r="K225" s="186">
        <v>0</v>
      </c>
      <c r="L225" s="214">
        <f>'ИСПОЛНЕНИЕ 1 КВ.'!H225+'ИСПОЛНЕНИЕ 2 КВ. '!I225</f>
        <v>236641.25000000003</v>
      </c>
      <c r="M225" s="186">
        <f>G225-L225</f>
        <v>-236641.25000000003</v>
      </c>
    </row>
    <row r="226" spans="1:13" s="28" customFormat="1" ht="12.75">
      <c r="A226" s="87" t="s">
        <v>37</v>
      </c>
      <c r="B226" s="27" t="s">
        <v>146</v>
      </c>
      <c r="C226" s="27" t="s">
        <v>82</v>
      </c>
      <c r="D226" s="27" t="s">
        <v>175</v>
      </c>
      <c r="E226" s="27" t="s">
        <v>38</v>
      </c>
      <c r="F226" s="27"/>
      <c r="G226" s="201">
        <f aca="true" t="shared" si="22" ref="G226:G243">H226+I226+J226+K226</f>
        <v>2337213</v>
      </c>
      <c r="H226" s="201">
        <f aca="true" t="shared" si="23" ref="H226:M226">SUM(H227:H229)</f>
        <v>765845</v>
      </c>
      <c r="I226" s="201">
        <f t="shared" si="23"/>
        <v>541525</v>
      </c>
      <c r="J226" s="201">
        <f t="shared" si="23"/>
        <v>487675</v>
      </c>
      <c r="K226" s="201">
        <f t="shared" si="23"/>
        <v>542168</v>
      </c>
      <c r="L226" s="214">
        <f>'ИСПОЛНЕНИЕ 1 КВ.'!H226+'ИСПОЛНЕНИЕ 2 КВ. '!I226</f>
        <v>1837744.0099999998</v>
      </c>
      <c r="M226" s="201">
        <f t="shared" si="23"/>
        <v>499468.99</v>
      </c>
    </row>
    <row r="227" spans="1:13" s="21" customFormat="1" ht="38.25">
      <c r="A227" s="11" t="s">
        <v>352</v>
      </c>
      <c r="B227" s="20"/>
      <c r="C227" s="20"/>
      <c r="D227" s="20"/>
      <c r="E227" s="20"/>
      <c r="F227" s="153" t="s">
        <v>381</v>
      </c>
      <c r="G227" s="214">
        <f t="shared" si="22"/>
        <v>401550</v>
      </c>
      <c r="H227" s="214">
        <v>100380</v>
      </c>
      <c r="I227" s="214">
        <v>100380</v>
      </c>
      <c r="J227" s="214">
        <v>100380</v>
      </c>
      <c r="K227" s="214">
        <v>100410</v>
      </c>
      <c r="L227" s="214">
        <f>'ИСПОЛНЕНИЕ 1 КВ.'!H227+'ИСПОЛНЕНИЕ 2 КВ. '!I227</f>
        <v>272059.88</v>
      </c>
      <c r="M227" s="214">
        <f>G227-L227</f>
        <v>129490.12</v>
      </c>
    </row>
    <row r="228" spans="1:13" s="21" customFormat="1" ht="38.25">
      <c r="A228" s="19" t="s">
        <v>353</v>
      </c>
      <c r="B228" s="20"/>
      <c r="C228" s="20"/>
      <c r="D228" s="20"/>
      <c r="E228" s="20"/>
      <c r="F228" s="20" t="s">
        <v>382</v>
      </c>
      <c r="G228" s="214">
        <f t="shared" si="22"/>
        <v>5600</v>
      </c>
      <c r="H228" s="214">
        <v>5600</v>
      </c>
      <c r="I228" s="186">
        <v>0</v>
      </c>
      <c r="J228" s="186">
        <v>0</v>
      </c>
      <c r="K228" s="186">
        <v>0</v>
      </c>
      <c r="L228" s="214">
        <f>'ИСПОЛНЕНИЕ 1 КВ.'!H228+'ИСПОЛНЕНИЕ 2 КВ. '!I228</f>
        <v>0</v>
      </c>
      <c r="M228" s="214">
        <f>G228-L228</f>
        <v>5600</v>
      </c>
    </row>
    <row r="229" spans="1:13" s="21" customFormat="1" ht="25.5" customHeight="1">
      <c r="A229" s="12" t="s">
        <v>364</v>
      </c>
      <c r="B229" s="20"/>
      <c r="C229" s="20"/>
      <c r="D229" s="20"/>
      <c r="E229" s="20"/>
      <c r="F229" s="20" t="s">
        <v>382</v>
      </c>
      <c r="G229" s="214">
        <f t="shared" si="22"/>
        <v>1930063</v>
      </c>
      <c r="H229" s="214">
        <f aca="true" t="shared" si="24" ref="H229:M229">H230+H231+H232+H233+H234+H235+H236+H237+H238+H239+H240+H241+H242</f>
        <v>659865</v>
      </c>
      <c r="I229" s="214">
        <f t="shared" si="24"/>
        <v>441145</v>
      </c>
      <c r="J229" s="214">
        <f t="shared" si="24"/>
        <v>387295</v>
      </c>
      <c r="K229" s="214">
        <f t="shared" si="24"/>
        <v>441758</v>
      </c>
      <c r="L229" s="214">
        <f>'ИСПОЛНЕНИЕ 1 КВ.'!H229+'ИСПОЛНЕНИЕ 2 КВ. '!I229</f>
        <v>1565684.13</v>
      </c>
      <c r="M229" s="214">
        <f t="shared" si="24"/>
        <v>364378.87</v>
      </c>
    </row>
    <row r="230" spans="1:13" s="21" customFormat="1" ht="15" customHeight="1">
      <c r="A230" s="168" t="s">
        <v>318</v>
      </c>
      <c r="B230" s="20"/>
      <c r="C230" s="20"/>
      <c r="D230" s="20"/>
      <c r="E230" s="20"/>
      <c r="F230" s="20"/>
      <c r="G230" s="186">
        <f t="shared" si="22"/>
        <v>108313</v>
      </c>
      <c r="H230" s="186"/>
      <c r="I230" s="186">
        <v>53850</v>
      </c>
      <c r="J230" s="186"/>
      <c r="K230" s="186">
        <f>53850+613</f>
        <v>54463</v>
      </c>
      <c r="L230" s="214">
        <f>'ИСПОЛНЕНИЕ 1 КВ.'!H230+'ИСПОЛНЕНИЕ 2 КВ. '!I230</f>
        <v>62856.92</v>
      </c>
      <c r="M230" s="214">
        <f>G230-L230</f>
        <v>45456.08</v>
      </c>
    </row>
    <row r="231" spans="1:13" s="21" customFormat="1" ht="15.75" customHeight="1">
      <c r="A231" s="168" t="s">
        <v>319</v>
      </c>
      <c r="B231" s="20"/>
      <c r="C231" s="20"/>
      <c r="D231" s="20"/>
      <c r="E231" s="20"/>
      <c r="F231" s="20"/>
      <c r="G231" s="186">
        <f t="shared" si="22"/>
        <v>177100</v>
      </c>
      <c r="H231" s="186">
        <v>44275</v>
      </c>
      <c r="I231" s="186">
        <v>44275</v>
      </c>
      <c r="J231" s="186">
        <v>44275</v>
      </c>
      <c r="K231" s="186">
        <v>44275</v>
      </c>
      <c r="L231" s="214">
        <f>'ИСПОЛНЕНИЕ 1 КВ.'!H231+'ИСПОЛНЕНИЕ 2 КВ. '!I231</f>
        <v>30558.84</v>
      </c>
      <c r="M231" s="214">
        <f aca="true" t="shared" si="25" ref="M231:M243">G231-L231</f>
        <v>146541.16</v>
      </c>
    </row>
    <row r="232" spans="1:13" s="21" customFormat="1" ht="15.75" customHeight="1">
      <c r="A232" s="168" t="s">
        <v>320</v>
      </c>
      <c r="B232" s="20"/>
      <c r="C232" s="20"/>
      <c r="D232" s="20"/>
      <c r="E232" s="20"/>
      <c r="F232" s="20"/>
      <c r="G232" s="186">
        <f t="shared" si="22"/>
        <v>15960</v>
      </c>
      <c r="H232" s="186">
        <v>3990</v>
      </c>
      <c r="I232" s="186">
        <v>3990</v>
      </c>
      <c r="J232" s="186">
        <v>3990</v>
      </c>
      <c r="K232" s="186">
        <v>3990</v>
      </c>
      <c r="L232" s="214">
        <f>'ИСПОЛНЕНИЕ 1 КВ.'!H232+'ИСПОЛНЕНИЕ 2 КВ. '!I232</f>
        <v>0</v>
      </c>
      <c r="M232" s="214">
        <f t="shared" si="25"/>
        <v>15960</v>
      </c>
    </row>
    <row r="233" spans="1:13" s="21" customFormat="1" ht="15" customHeight="1">
      <c r="A233" s="168" t="s">
        <v>321</v>
      </c>
      <c r="B233" s="20"/>
      <c r="C233" s="20"/>
      <c r="D233" s="20"/>
      <c r="E233" s="20"/>
      <c r="F233" s="20"/>
      <c r="G233" s="186">
        <f t="shared" si="22"/>
        <v>101320</v>
      </c>
      <c r="H233" s="186">
        <v>25330</v>
      </c>
      <c r="I233" s="186">
        <v>25330</v>
      </c>
      <c r="J233" s="186">
        <v>25330</v>
      </c>
      <c r="K233" s="186">
        <v>25330</v>
      </c>
      <c r="L233" s="214">
        <f>'ИСПОЛНЕНИЕ 1 КВ.'!H233+'ИСПОЛНЕНИЕ 2 КВ. '!I233</f>
        <v>44144.99</v>
      </c>
      <c r="M233" s="214">
        <f t="shared" si="25"/>
        <v>57175.01</v>
      </c>
    </row>
    <row r="234" spans="1:13" s="21" customFormat="1" ht="15" customHeight="1">
      <c r="A234" s="168" t="s">
        <v>322</v>
      </c>
      <c r="B234" s="20"/>
      <c r="C234" s="20"/>
      <c r="D234" s="20"/>
      <c r="E234" s="20"/>
      <c r="F234" s="20"/>
      <c r="G234" s="186">
        <f t="shared" si="22"/>
        <v>152800</v>
      </c>
      <c r="H234" s="186">
        <v>38200</v>
      </c>
      <c r="I234" s="186">
        <v>38200</v>
      </c>
      <c r="J234" s="186">
        <v>38200</v>
      </c>
      <c r="K234" s="186">
        <v>38200</v>
      </c>
      <c r="L234" s="214">
        <f>'ИСПОЛНЕНИЕ 1 КВ.'!H234+'ИСПОЛНЕНИЕ 2 КВ. '!I234</f>
        <v>102106.41</v>
      </c>
      <c r="M234" s="214">
        <f t="shared" si="25"/>
        <v>50693.59</v>
      </c>
    </row>
    <row r="235" spans="1:13" s="21" customFormat="1" ht="15" customHeight="1">
      <c r="A235" s="168" t="s">
        <v>323</v>
      </c>
      <c r="B235" s="20"/>
      <c r="C235" s="20"/>
      <c r="D235" s="20"/>
      <c r="E235" s="20"/>
      <c r="F235" s="20"/>
      <c r="G235" s="186">
        <f t="shared" si="22"/>
        <v>188000</v>
      </c>
      <c r="H235" s="186">
        <v>47000</v>
      </c>
      <c r="I235" s="186">
        <v>47000</v>
      </c>
      <c r="J235" s="186">
        <v>47000</v>
      </c>
      <c r="K235" s="186">
        <v>47000</v>
      </c>
      <c r="L235" s="214">
        <f>'ИСПОЛНЕНИЕ 1 КВ.'!H235+'ИСПОЛНЕНИЕ 2 КВ. '!I235</f>
        <v>0</v>
      </c>
      <c r="M235" s="214">
        <f t="shared" si="25"/>
        <v>188000</v>
      </c>
    </row>
    <row r="236" spans="1:13" s="21" customFormat="1" ht="12.75" customHeight="1">
      <c r="A236" s="168" t="s">
        <v>324</v>
      </c>
      <c r="B236" s="20"/>
      <c r="C236" s="20"/>
      <c r="D236" s="20"/>
      <c r="E236" s="20"/>
      <c r="F236" s="20"/>
      <c r="G236" s="186">
        <f t="shared" si="22"/>
        <v>187200</v>
      </c>
      <c r="H236" s="186">
        <f>25800+84000</f>
        <v>109800</v>
      </c>
      <c r="I236" s="186">
        <v>25800</v>
      </c>
      <c r="J236" s="186">
        <v>25800</v>
      </c>
      <c r="K236" s="186">
        <v>25800</v>
      </c>
      <c r="L236" s="214">
        <f>'ИСПОЛНЕНИЕ 1 КВ.'!H236+'ИСПОЛНЕНИЕ 2 КВ. '!I236</f>
        <v>40374.72</v>
      </c>
      <c r="M236" s="214">
        <f t="shared" si="25"/>
        <v>146825.28</v>
      </c>
    </row>
    <row r="237" spans="1:13" s="21" customFormat="1" ht="13.5" customHeight="1">
      <c r="A237" s="168" t="s">
        <v>325</v>
      </c>
      <c r="B237" s="20"/>
      <c r="C237" s="20"/>
      <c r="D237" s="20"/>
      <c r="E237" s="20"/>
      <c r="F237" s="20"/>
      <c r="G237" s="186">
        <f t="shared" si="22"/>
        <v>175000</v>
      </c>
      <c r="H237" s="186">
        <v>43750</v>
      </c>
      <c r="I237" s="186">
        <v>43750</v>
      </c>
      <c r="J237" s="186">
        <v>43750</v>
      </c>
      <c r="K237" s="186">
        <v>43750</v>
      </c>
      <c r="L237" s="214">
        <f>'ИСПОЛНЕНИЕ 1 КВ.'!H237+'ИСПОЛНЕНИЕ 2 КВ. '!I237</f>
        <v>25552.78</v>
      </c>
      <c r="M237" s="214">
        <f t="shared" si="25"/>
        <v>149447.22</v>
      </c>
    </row>
    <row r="238" spans="1:13" s="21" customFormat="1" ht="14.25" customHeight="1">
      <c r="A238" s="168" t="s">
        <v>326</v>
      </c>
      <c r="B238" s="20"/>
      <c r="C238" s="20"/>
      <c r="D238" s="20"/>
      <c r="E238" s="20"/>
      <c r="F238" s="20"/>
      <c r="G238" s="186">
        <f t="shared" si="22"/>
        <v>97120</v>
      </c>
      <c r="H238" s="186">
        <v>24280</v>
      </c>
      <c r="I238" s="186">
        <v>24280</v>
      </c>
      <c r="J238" s="186">
        <v>24280</v>
      </c>
      <c r="K238" s="186">
        <v>24280</v>
      </c>
      <c r="L238" s="214">
        <f>'ИСПОЛНЕНИЕ 1 КВ.'!H238+'ИСПОЛНЕНИЕ 2 КВ. '!I238</f>
        <v>63296.229999999996</v>
      </c>
      <c r="M238" s="214">
        <f t="shared" si="25"/>
        <v>33823.770000000004</v>
      </c>
    </row>
    <row r="239" spans="1:13" s="21" customFormat="1" ht="15" customHeight="1">
      <c r="A239" s="168" t="s">
        <v>327</v>
      </c>
      <c r="B239" s="20"/>
      <c r="C239" s="20"/>
      <c r="D239" s="20"/>
      <c r="E239" s="20"/>
      <c r="F239" s="20"/>
      <c r="G239" s="186">
        <f t="shared" si="22"/>
        <v>188570</v>
      </c>
      <c r="H239" s="186">
        <v>188570</v>
      </c>
      <c r="I239" s="186"/>
      <c r="J239" s="186"/>
      <c r="K239" s="186"/>
      <c r="L239" s="214">
        <f>'ИСПОЛНЕНИЕ 1 КВ.'!H239+'ИСПОЛНЕНИЕ 2 КВ. '!I239</f>
        <v>7003</v>
      </c>
      <c r="M239" s="214">
        <f t="shared" si="25"/>
        <v>181567</v>
      </c>
    </row>
    <row r="240" spans="1:13" s="21" customFormat="1" ht="12" customHeight="1">
      <c r="A240" s="168" t="s">
        <v>328</v>
      </c>
      <c r="B240" s="20"/>
      <c r="C240" s="20"/>
      <c r="D240" s="20"/>
      <c r="E240" s="20"/>
      <c r="F240" s="20"/>
      <c r="G240" s="186">
        <f t="shared" si="22"/>
        <v>8280</v>
      </c>
      <c r="H240" s="186">
        <v>2070</v>
      </c>
      <c r="I240" s="186">
        <v>2070</v>
      </c>
      <c r="J240" s="186">
        <v>2070</v>
      </c>
      <c r="K240" s="186">
        <v>2070</v>
      </c>
      <c r="L240" s="214">
        <f>'ИСПОЛНЕНИЕ 1 КВ.'!H240+'ИСПОЛНЕНИЕ 2 КВ. '!I240</f>
        <v>4640</v>
      </c>
      <c r="M240" s="214">
        <f t="shared" si="25"/>
        <v>3640</v>
      </c>
    </row>
    <row r="241" spans="1:13" s="21" customFormat="1" ht="13.5" customHeight="1">
      <c r="A241" s="168" t="s">
        <v>329</v>
      </c>
      <c r="B241" s="20"/>
      <c r="C241" s="20"/>
      <c r="D241" s="20"/>
      <c r="E241" s="20"/>
      <c r="F241" s="20"/>
      <c r="G241" s="186">
        <f t="shared" si="22"/>
        <v>30400</v>
      </c>
      <c r="H241" s="186">
        <v>7600</v>
      </c>
      <c r="I241" s="186">
        <v>7600</v>
      </c>
      <c r="J241" s="186">
        <v>7600</v>
      </c>
      <c r="K241" s="186">
        <v>7600</v>
      </c>
      <c r="L241" s="214">
        <f>'ИСПОЛНЕНИЕ 1 КВ.'!H241+'ИСПОЛНЕНИЕ 2 КВ. '!I241</f>
        <v>17600</v>
      </c>
      <c r="M241" s="214">
        <f t="shared" si="25"/>
        <v>12800</v>
      </c>
    </row>
    <row r="242" spans="1:13" s="21" customFormat="1" ht="12.75" customHeight="1">
      <c r="A242" s="168" t="s">
        <v>330</v>
      </c>
      <c r="B242" s="20"/>
      <c r="C242" s="20"/>
      <c r="D242" s="20"/>
      <c r="E242" s="20"/>
      <c r="F242" s="20"/>
      <c r="G242" s="186">
        <f t="shared" si="22"/>
        <v>500000</v>
      </c>
      <c r="H242" s="186">
        <v>125000</v>
      </c>
      <c r="I242" s="186">
        <v>125000</v>
      </c>
      <c r="J242" s="186">
        <v>125000</v>
      </c>
      <c r="K242" s="186">
        <v>125000</v>
      </c>
      <c r="L242" s="214">
        <f>'ИСПОЛНЕНИЕ 1 КВ.'!H242+'ИСПОЛНЕНИЕ 2 КВ. '!I242</f>
        <v>1167550.24</v>
      </c>
      <c r="M242" s="214">
        <f t="shared" si="25"/>
        <v>-667550.24</v>
      </c>
    </row>
    <row r="243" spans="1:13" s="45" customFormat="1" ht="12.75">
      <c r="A243" s="43" t="s">
        <v>42</v>
      </c>
      <c r="B243" s="44" t="s">
        <v>146</v>
      </c>
      <c r="C243" s="44" t="s">
        <v>82</v>
      </c>
      <c r="D243" s="44" t="s">
        <v>175</v>
      </c>
      <c r="E243" s="44" t="s">
        <v>43</v>
      </c>
      <c r="F243" s="44"/>
      <c r="G243" s="186">
        <f t="shared" si="22"/>
        <v>435500</v>
      </c>
      <c r="H243" s="197">
        <f>H244</f>
        <v>435500</v>
      </c>
      <c r="I243" s="197">
        <f>I244</f>
        <v>0</v>
      </c>
      <c r="J243" s="197">
        <f>J244</f>
        <v>0</v>
      </c>
      <c r="K243" s="197">
        <f>K244</f>
        <v>0</v>
      </c>
      <c r="L243" s="214">
        <f>'ИСПОЛНЕНИЕ 1 КВ.'!H243+'ИСПОЛНЕНИЕ 2 КВ. '!I243</f>
        <v>840530.72</v>
      </c>
      <c r="M243" s="214">
        <f t="shared" si="25"/>
        <v>-405030.72</v>
      </c>
    </row>
    <row r="244" spans="1:13" s="28" customFormat="1" ht="12.75">
      <c r="A244" s="87" t="s">
        <v>44</v>
      </c>
      <c r="B244" s="27" t="s">
        <v>146</v>
      </c>
      <c r="C244" s="27" t="s">
        <v>82</v>
      </c>
      <c r="D244" s="27" t="s">
        <v>175</v>
      </c>
      <c r="E244" s="27" t="s">
        <v>45</v>
      </c>
      <c r="F244" s="27" t="s">
        <v>414</v>
      </c>
      <c r="G244" s="201">
        <f>SUM(H244:H245)</f>
        <v>435500</v>
      </c>
      <c r="H244" s="201">
        <v>435500</v>
      </c>
      <c r="I244" s="201"/>
      <c r="J244" s="201"/>
      <c r="K244" s="201"/>
      <c r="L244" s="214">
        <f>'ИСПОЛНЕНИЕ 1 КВ.'!H244+'ИСПОЛНЕНИЕ 2 КВ. '!I244</f>
        <v>840530.72</v>
      </c>
      <c r="M244" s="201"/>
    </row>
    <row r="245" spans="1:13" s="21" customFormat="1" ht="12.75">
      <c r="A245" s="6" t="s">
        <v>355</v>
      </c>
      <c r="B245" s="20"/>
      <c r="C245" s="20"/>
      <c r="D245" s="20"/>
      <c r="E245" s="20"/>
      <c r="F245" s="20"/>
      <c r="G245" s="214">
        <f>SUM(H245:H245)</f>
        <v>0</v>
      </c>
      <c r="H245" s="214"/>
      <c r="I245" s="214"/>
      <c r="J245" s="214"/>
      <c r="K245" s="214"/>
      <c r="L245" s="214">
        <f>'ИСПОЛНЕНИЕ 1 КВ.'!H245+'ИСПОЛНЕНИЕ 2 КВ. '!I245</f>
        <v>0</v>
      </c>
      <c r="M245" s="214"/>
    </row>
    <row r="246" spans="1:13" s="45" customFormat="1" ht="12.75">
      <c r="A246" s="43" t="s">
        <v>47</v>
      </c>
      <c r="B246" s="44" t="s">
        <v>146</v>
      </c>
      <c r="C246" s="44" t="s">
        <v>82</v>
      </c>
      <c r="D246" s="44" t="s">
        <v>175</v>
      </c>
      <c r="E246" s="44" t="s">
        <v>48</v>
      </c>
      <c r="F246" s="44"/>
      <c r="G246" s="197">
        <f>H246+I246+J246+K246</f>
        <v>445000</v>
      </c>
      <c r="H246" s="197">
        <f aca="true" t="shared" si="26" ref="H246:M246">SUM(H247)</f>
        <v>111250</v>
      </c>
      <c r="I246" s="197">
        <f t="shared" si="26"/>
        <v>111250</v>
      </c>
      <c r="J246" s="197">
        <f t="shared" si="26"/>
        <v>111250</v>
      </c>
      <c r="K246" s="197">
        <f t="shared" si="26"/>
        <v>111250</v>
      </c>
      <c r="L246" s="197">
        <f t="shared" si="26"/>
        <v>162069.41</v>
      </c>
      <c r="M246" s="197">
        <f t="shared" si="26"/>
        <v>282930.58999999997</v>
      </c>
    </row>
    <row r="247" spans="1:13" s="21" customFormat="1" ht="27.75" customHeight="1">
      <c r="A247" s="12" t="s">
        <v>354</v>
      </c>
      <c r="B247" s="20"/>
      <c r="C247" s="20"/>
      <c r="D247" s="20"/>
      <c r="E247" s="20"/>
      <c r="F247" s="153" t="s">
        <v>383</v>
      </c>
      <c r="G247" s="214">
        <f>H247+I247+J247+K247</f>
        <v>445000</v>
      </c>
      <c r="H247" s="214">
        <v>111250</v>
      </c>
      <c r="I247" s="214">
        <v>111250</v>
      </c>
      <c r="J247" s="214">
        <v>111250</v>
      </c>
      <c r="K247" s="214">
        <v>111250</v>
      </c>
      <c r="L247" s="214">
        <f>'ИСПОЛНЕНИЕ 1 КВ.'!H247+'ИСПОЛНЕНИЕ 2 КВ. '!I247</f>
        <v>162069.41</v>
      </c>
      <c r="M247" s="214">
        <f>G247-L247</f>
        <v>282930.58999999997</v>
      </c>
    </row>
    <row r="248" spans="1:13" s="45" customFormat="1" ht="12.75">
      <c r="A248" s="43" t="s">
        <v>49</v>
      </c>
      <c r="B248" s="44" t="s">
        <v>146</v>
      </c>
      <c r="C248" s="44" t="s">
        <v>82</v>
      </c>
      <c r="D248" s="44" t="s">
        <v>175</v>
      </c>
      <c r="E248" s="44" t="s">
        <v>50</v>
      </c>
      <c r="F248" s="44"/>
      <c r="G248" s="197">
        <f>H248+I248+J248+K248</f>
        <v>1797500</v>
      </c>
      <c r="H248" s="197">
        <f aca="true" t="shared" si="27" ref="H248:M248">SUM(H249,H253)</f>
        <v>535375</v>
      </c>
      <c r="I248" s="197">
        <f t="shared" si="27"/>
        <v>835625</v>
      </c>
      <c r="J248" s="197">
        <f t="shared" si="27"/>
        <v>308625</v>
      </c>
      <c r="K248" s="197">
        <f t="shared" si="27"/>
        <v>117875</v>
      </c>
      <c r="L248" s="197">
        <f t="shared" si="27"/>
        <v>1092060.26</v>
      </c>
      <c r="M248" s="197">
        <f t="shared" si="27"/>
        <v>705439.74</v>
      </c>
    </row>
    <row r="249" spans="1:13" s="28" customFormat="1" ht="12.75">
      <c r="A249" s="87" t="s">
        <v>51</v>
      </c>
      <c r="B249" s="27" t="s">
        <v>146</v>
      </c>
      <c r="C249" s="27" t="s">
        <v>82</v>
      </c>
      <c r="D249" s="27" t="s">
        <v>175</v>
      </c>
      <c r="E249" s="27" t="s">
        <v>52</v>
      </c>
      <c r="F249" s="27"/>
      <c r="G249" s="201">
        <f>H249+I249+J249+K249</f>
        <v>653500</v>
      </c>
      <c r="H249" s="201">
        <f aca="true" t="shared" si="28" ref="H249:M249">SUM(H250:H252)</f>
        <v>217875</v>
      </c>
      <c r="I249" s="201">
        <f t="shared" si="28"/>
        <v>167875</v>
      </c>
      <c r="J249" s="201">
        <f t="shared" si="28"/>
        <v>149875</v>
      </c>
      <c r="K249" s="201">
        <f t="shared" si="28"/>
        <v>117875</v>
      </c>
      <c r="L249" s="214">
        <f>'ИСПОЛНЕНИЕ 1 КВ.'!H249+'ИСПОЛНЕНИЕ 2 КВ. '!I249</f>
        <v>463029.6</v>
      </c>
      <c r="M249" s="201">
        <f t="shared" si="28"/>
        <v>190470.40000000002</v>
      </c>
    </row>
    <row r="250" spans="1:13" s="21" customFormat="1" ht="12.75">
      <c r="A250" s="7" t="s">
        <v>356</v>
      </c>
      <c r="B250" s="20"/>
      <c r="C250" s="20"/>
      <c r="D250" s="20"/>
      <c r="E250" s="20"/>
      <c r="F250" s="20"/>
      <c r="G250" s="214">
        <f>SUM(H250:H250)</f>
        <v>0</v>
      </c>
      <c r="H250" s="214"/>
      <c r="I250" s="214"/>
      <c r="J250" s="214"/>
      <c r="K250" s="214"/>
      <c r="L250" s="214">
        <f>'ИСПОЛНЕНИЕ 1 КВ.'!H250+'ИСПОЛНЕНИЕ 2 КВ. '!I250</f>
        <v>0</v>
      </c>
      <c r="M250" s="214"/>
    </row>
    <row r="251" spans="1:13" s="21" customFormat="1" ht="38.25" customHeight="1">
      <c r="A251" s="7" t="s">
        <v>54</v>
      </c>
      <c r="B251" s="20"/>
      <c r="C251" s="20"/>
      <c r="D251" s="20"/>
      <c r="E251" s="20"/>
      <c r="F251" s="20" t="s">
        <v>384</v>
      </c>
      <c r="G251" s="214">
        <f>H251+I251+J251+K251</f>
        <v>271500</v>
      </c>
      <c r="H251" s="214">
        <v>67875</v>
      </c>
      <c r="I251" s="214">
        <v>67875</v>
      </c>
      <c r="J251" s="214">
        <v>67875</v>
      </c>
      <c r="K251" s="214">
        <v>67875</v>
      </c>
      <c r="L251" s="214">
        <f>'ИСПОЛНЕНИЕ 1 КВ.'!H251+'ИСПОЛНЕНИЕ 2 КВ. '!I251</f>
        <v>156327</v>
      </c>
      <c r="M251" s="214">
        <f>G251-L251</f>
        <v>115173</v>
      </c>
    </row>
    <row r="252" spans="1:13" s="21" customFormat="1" ht="52.5" customHeight="1">
      <c r="A252" s="7" t="s">
        <v>365</v>
      </c>
      <c r="B252" s="20"/>
      <c r="C252" s="20"/>
      <c r="D252" s="20"/>
      <c r="E252" s="20"/>
      <c r="F252" s="20" t="s">
        <v>385</v>
      </c>
      <c r="G252" s="214">
        <f>H252+I252+J252+K252</f>
        <v>382000</v>
      </c>
      <c r="H252" s="214">
        <f>50000+100000</f>
        <v>150000</v>
      </c>
      <c r="I252" s="214">
        <f>200000-100000</f>
        <v>100000</v>
      </c>
      <c r="J252" s="214">
        <v>82000</v>
      </c>
      <c r="K252" s="214">
        <v>50000</v>
      </c>
      <c r="L252" s="214">
        <f>'ИСПОЛНЕНИЕ 1 КВ.'!H252+'ИСПОЛНЕНИЕ 2 КВ. '!I252</f>
        <v>306702.6</v>
      </c>
      <c r="M252" s="214">
        <f>G252-L252</f>
        <v>75297.40000000002</v>
      </c>
    </row>
    <row r="253" spans="1:13" s="28" customFormat="1" ht="24" customHeight="1">
      <c r="A253" s="87" t="s">
        <v>56</v>
      </c>
      <c r="B253" s="27" t="s">
        <v>146</v>
      </c>
      <c r="C253" s="27" t="s">
        <v>82</v>
      </c>
      <c r="D253" s="27" t="s">
        <v>175</v>
      </c>
      <c r="E253" s="27" t="s">
        <v>57</v>
      </c>
      <c r="F253" s="27"/>
      <c r="G253" s="201">
        <f>H253+I253+J253+K253</f>
        <v>1144000</v>
      </c>
      <c r="H253" s="201">
        <f aca="true" t="shared" si="29" ref="H253:M253">H254+H255+H256+H257</f>
        <v>317500</v>
      </c>
      <c r="I253" s="201">
        <f t="shared" si="29"/>
        <v>667750</v>
      </c>
      <c r="J253" s="201">
        <f t="shared" si="29"/>
        <v>158750</v>
      </c>
      <c r="K253" s="201">
        <f t="shared" si="29"/>
        <v>0</v>
      </c>
      <c r="L253" s="214">
        <f>'ИСПОЛНЕНИЕ 1 КВ.'!H253+'ИСПОЛНЕНИЕ 2 КВ. '!I253</f>
        <v>629030.66</v>
      </c>
      <c r="M253" s="201">
        <f t="shared" si="29"/>
        <v>514969.33999999997</v>
      </c>
    </row>
    <row r="254" spans="1:13" s="21" customFormat="1" ht="25.5">
      <c r="A254" s="7" t="s">
        <v>357</v>
      </c>
      <c r="B254" s="20"/>
      <c r="C254" s="20"/>
      <c r="D254" s="20"/>
      <c r="E254" s="20"/>
      <c r="F254" s="20" t="s">
        <v>386</v>
      </c>
      <c r="G254" s="214">
        <f>SUM(H254:H254)</f>
        <v>0</v>
      </c>
      <c r="H254" s="214"/>
      <c r="I254" s="214"/>
      <c r="J254" s="214"/>
      <c r="K254" s="214"/>
      <c r="L254" s="214">
        <f>'ИСПОЛНЕНИЕ 1 КВ.'!H254+'ИСПОЛНЕНИЕ 2 КВ. '!I254</f>
        <v>0</v>
      </c>
      <c r="M254" s="214"/>
    </row>
    <row r="255" spans="1:13" s="21" customFormat="1" ht="12.75">
      <c r="A255" s="7" t="s">
        <v>366</v>
      </c>
      <c r="B255" s="20"/>
      <c r="C255" s="20"/>
      <c r="D255" s="20"/>
      <c r="E255" s="20"/>
      <c r="F255" s="20" t="s">
        <v>387</v>
      </c>
      <c r="G255" s="214">
        <f>SUM(H255:H255)</f>
        <v>0</v>
      </c>
      <c r="H255" s="214"/>
      <c r="I255" s="214"/>
      <c r="J255" s="214"/>
      <c r="K255" s="214"/>
      <c r="L255" s="214">
        <f>'ИСПОЛНЕНИЕ 1 КВ.'!H255+'ИСПОЛНЕНИЕ 2 КВ. '!I255</f>
        <v>0</v>
      </c>
      <c r="M255" s="214"/>
    </row>
    <row r="256" spans="1:13" s="21" customFormat="1" ht="12.75">
      <c r="A256" s="7" t="s">
        <v>359</v>
      </c>
      <c r="B256" s="20"/>
      <c r="C256" s="20"/>
      <c r="D256" s="20"/>
      <c r="E256" s="20"/>
      <c r="F256" s="20" t="s">
        <v>388</v>
      </c>
      <c r="G256" s="214">
        <f>H256+I256+J256+K256</f>
        <v>509000</v>
      </c>
      <c r="H256" s="186">
        <v>0</v>
      </c>
      <c r="I256" s="214">
        <v>509000</v>
      </c>
      <c r="J256" s="186">
        <v>0</v>
      </c>
      <c r="K256" s="186">
        <v>0</v>
      </c>
      <c r="L256" s="214">
        <f>'ИСПОЛНЕНИЕ 1 КВ.'!H256+'ИСПОЛНЕНИЕ 2 КВ. '!I256</f>
        <v>0</v>
      </c>
      <c r="M256" s="214">
        <f>G256-L256</f>
        <v>509000</v>
      </c>
    </row>
    <row r="257" spans="1:13" s="21" customFormat="1" ht="25.5">
      <c r="A257" s="7" t="s">
        <v>367</v>
      </c>
      <c r="B257" s="20"/>
      <c r="C257" s="20"/>
      <c r="D257" s="20"/>
      <c r="E257" s="20"/>
      <c r="F257" s="20" t="s">
        <v>389</v>
      </c>
      <c r="G257" s="214">
        <f>H257+I257+K257+J257</f>
        <v>635000</v>
      </c>
      <c r="H257" s="214">
        <f>158750+158750</f>
        <v>317500</v>
      </c>
      <c r="I257" s="214">
        <v>158750</v>
      </c>
      <c r="J257" s="214">
        <v>158750</v>
      </c>
      <c r="K257" s="214"/>
      <c r="L257" s="214">
        <f>'ИСПОЛНЕНИЕ 1 КВ.'!H257+'ИСПОЛНЕНИЕ 2 КВ. '!I257</f>
        <v>629030.66</v>
      </c>
      <c r="M257" s="214">
        <f>G257-L257</f>
        <v>5969.339999999967</v>
      </c>
    </row>
    <row r="258" spans="1:13" s="21" customFormat="1" ht="12.75">
      <c r="A258" s="117" t="s">
        <v>234</v>
      </c>
      <c r="B258" s="44" t="s">
        <v>146</v>
      </c>
      <c r="C258" s="44" t="s">
        <v>82</v>
      </c>
      <c r="D258" s="44" t="s">
        <v>342</v>
      </c>
      <c r="E258" s="44" t="s">
        <v>2</v>
      </c>
      <c r="F258" s="20"/>
      <c r="G258" s="197">
        <f>H258+I258+J258+K258</f>
        <v>894156</v>
      </c>
      <c r="H258" s="197">
        <f aca="true" t="shared" si="30" ref="H258:M258">H259</f>
        <v>223539</v>
      </c>
      <c r="I258" s="197">
        <f t="shared" si="30"/>
        <v>223539</v>
      </c>
      <c r="J258" s="197">
        <f t="shared" si="30"/>
        <v>223538</v>
      </c>
      <c r="K258" s="197">
        <f t="shared" si="30"/>
        <v>223540</v>
      </c>
      <c r="L258" s="197">
        <f t="shared" si="30"/>
        <v>550163.7</v>
      </c>
      <c r="M258" s="197">
        <f t="shared" si="30"/>
        <v>343992.29999999993</v>
      </c>
    </row>
    <row r="259" spans="1:13" s="21" customFormat="1" ht="12.75">
      <c r="A259" s="123" t="s">
        <v>4</v>
      </c>
      <c r="B259" s="20" t="s">
        <v>146</v>
      </c>
      <c r="C259" s="20" t="s">
        <v>82</v>
      </c>
      <c r="D259" s="20" t="s">
        <v>342</v>
      </c>
      <c r="E259" s="14" t="s">
        <v>5</v>
      </c>
      <c r="F259" s="20"/>
      <c r="G259" s="214">
        <f>H259+I259+J259+K259</f>
        <v>894156</v>
      </c>
      <c r="H259" s="214">
        <f aca="true" t="shared" si="31" ref="H259:M259">H260+H261</f>
        <v>223539</v>
      </c>
      <c r="I259" s="214">
        <f t="shared" si="31"/>
        <v>223539</v>
      </c>
      <c r="J259" s="214">
        <f t="shared" si="31"/>
        <v>223538</v>
      </c>
      <c r="K259" s="214">
        <f t="shared" si="31"/>
        <v>223540</v>
      </c>
      <c r="L259" s="214">
        <f>'ИСПОЛНЕНИЕ 1 КВ.'!H259+'ИСПОЛНЕНИЕ 2 КВ. '!I259</f>
        <v>550163.7</v>
      </c>
      <c r="M259" s="214">
        <f t="shared" si="31"/>
        <v>343992.29999999993</v>
      </c>
    </row>
    <row r="260" spans="1:13" s="21" customFormat="1" ht="12.75">
      <c r="A260" s="118" t="s">
        <v>6</v>
      </c>
      <c r="B260" s="20" t="s">
        <v>146</v>
      </c>
      <c r="C260" s="20" t="s">
        <v>82</v>
      </c>
      <c r="D260" s="20" t="s">
        <v>342</v>
      </c>
      <c r="E260" s="20" t="s">
        <v>7</v>
      </c>
      <c r="F260" s="20" t="s">
        <v>369</v>
      </c>
      <c r="G260" s="214">
        <f>H260+I260+J260+K260</f>
        <v>708523</v>
      </c>
      <c r="H260" s="214">
        <v>177131</v>
      </c>
      <c r="I260" s="214">
        <v>177131</v>
      </c>
      <c r="J260" s="214">
        <v>177130</v>
      </c>
      <c r="K260" s="214">
        <v>177131</v>
      </c>
      <c r="L260" s="214">
        <f>'ИСПОЛНЕНИЕ 1 КВ.'!H260+'ИСПОЛНЕНИЕ 2 КВ. '!I260</f>
        <v>452915.56000000006</v>
      </c>
      <c r="M260" s="214">
        <f>G260-L260</f>
        <v>255607.43999999994</v>
      </c>
    </row>
    <row r="261" spans="1:13" s="21" customFormat="1" ht="12.75">
      <c r="A261" s="118" t="s">
        <v>13</v>
      </c>
      <c r="B261" s="20" t="s">
        <v>146</v>
      </c>
      <c r="C261" s="20" t="s">
        <v>82</v>
      </c>
      <c r="D261" s="20" t="s">
        <v>342</v>
      </c>
      <c r="E261" s="20" t="s">
        <v>14</v>
      </c>
      <c r="F261" s="20" t="s">
        <v>369</v>
      </c>
      <c r="G261" s="214">
        <f>H261+I261+J261+K261</f>
        <v>185633</v>
      </c>
      <c r="H261" s="214">
        <v>46408</v>
      </c>
      <c r="I261" s="214">
        <v>46408</v>
      </c>
      <c r="J261" s="214">
        <v>46408</v>
      </c>
      <c r="K261" s="214">
        <v>46409</v>
      </c>
      <c r="L261" s="214">
        <f>'ИСПОЛНЕНИЕ 1 КВ.'!H261+'ИСПОЛНЕНИЕ 2 КВ. '!I261</f>
        <v>97248.14000000001</v>
      </c>
      <c r="M261" s="214">
        <f>G261-L261</f>
        <v>88384.85999999999</v>
      </c>
    </row>
    <row r="262" spans="1:13" s="15" customFormat="1" ht="25.5" hidden="1">
      <c r="A262" s="9" t="s">
        <v>87</v>
      </c>
      <c r="B262" s="5" t="s">
        <v>147</v>
      </c>
      <c r="C262" s="5" t="s">
        <v>88</v>
      </c>
      <c r="D262" s="5" t="s">
        <v>2</v>
      </c>
      <c r="E262" s="5"/>
      <c r="F262" s="5"/>
      <c r="G262" s="60"/>
      <c r="H262" s="176"/>
      <c r="I262" s="174"/>
      <c r="J262" s="174"/>
      <c r="K262" s="174"/>
      <c r="L262" s="214">
        <f>'ИСПОЛНЕНИЕ 1 КВ.'!H262+'ИСПОЛНЕНИЕ 2 КВ. '!I262</f>
        <v>0</v>
      </c>
      <c r="M262" s="233"/>
    </row>
    <row r="263" spans="1:13" s="72" customFormat="1" ht="25.5" hidden="1">
      <c r="A263" s="81" t="s">
        <v>136</v>
      </c>
      <c r="B263" s="82" t="s">
        <v>147</v>
      </c>
      <c r="C263" s="82" t="s">
        <v>137</v>
      </c>
      <c r="D263" s="82" t="s">
        <v>138</v>
      </c>
      <c r="E263" s="82"/>
      <c r="F263" s="82"/>
      <c r="G263" s="71"/>
      <c r="H263" s="173"/>
      <c r="I263" s="173"/>
      <c r="J263" s="173"/>
      <c r="K263" s="173"/>
      <c r="L263" s="214">
        <f>'ИСПОЛНЕНИЕ 1 КВ.'!H263+'ИСПОЛНЕНИЕ 2 КВ. '!I263</f>
        <v>0</v>
      </c>
      <c r="M263" s="232"/>
    </row>
    <row r="264" spans="1:13" s="72" customFormat="1" ht="9.75" customHeight="1" hidden="1">
      <c r="A264" s="69" t="s">
        <v>203</v>
      </c>
      <c r="B264" s="70" t="s">
        <v>147</v>
      </c>
      <c r="C264" s="70" t="s">
        <v>137</v>
      </c>
      <c r="D264" s="70" t="s">
        <v>138</v>
      </c>
      <c r="E264" s="70" t="s">
        <v>202</v>
      </c>
      <c r="F264" s="70"/>
      <c r="G264" s="71"/>
      <c r="H264" s="173"/>
      <c r="I264" s="173"/>
      <c r="J264" s="173"/>
      <c r="K264" s="173"/>
      <c r="L264" s="214">
        <f>'ИСПОЛНЕНИЕ 1 КВ.'!H264+'ИСПОЛНЕНИЕ 2 КВ. '!I264</f>
        <v>0</v>
      </c>
      <c r="M264" s="232"/>
    </row>
    <row r="265" spans="1:13" s="30" customFormat="1" ht="12.75" customHeight="1" hidden="1">
      <c r="A265" s="33" t="s">
        <v>89</v>
      </c>
      <c r="B265" s="29"/>
      <c r="C265" s="29"/>
      <c r="D265" s="29"/>
      <c r="E265" s="29"/>
      <c r="F265" s="29"/>
      <c r="G265" s="58"/>
      <c r="H265" s="175"/>
      <c r="I265" s="175"/>
      <c r="J265" s="175"/>
      <c r="K265" s="175"/>
      <c r="L265" s="214">
        <f>'ИСПОЛНЕНИЕ 1 КВ.'!H265+'ИСПОЛНЕНИЕ 2 КВ. '!I265</f>
        <v>0</v>
      </c>
      <c r="M265" s="234"/>
    </row>
    <row r="266" spans="1:13" s="30" customFormat="1" ht="15" customHeight="1" hidden="1">
      <c r="A266" s="33" t="s">
        <v>90</v>
      </c>
      <c r="B266" s="29"/>
      <c r="C266" s="29"/>
      <c r="D266" s="29"/>
      <c r="E266" s="29"/>
      <c r="F266" s="29"/>
      <c r="G266" s="58"/>
      <c r="H266" s="175"/>
      <c r="I266" s="175"/>
      <c r="J266" s="175"/>
      <c r="K266" s="175"/>
      <c r="L266" s="214">
        <f>'ИСПОЛНЕНИЕ 1 КВ.'!H266+'ИСПОЛНЕНИЕ 2 КВ. '!I266</f>
        <v>0</v>
      </c>
      <c r="M266" s="234"/>
    </row>
    <row r="267" spans="1:13" s="15" customFormat="1" ht="12.75">
      <c r="A267" s="47" t="s">
        <v>228</v>
      </c>
      <c r="B267" s="48" t="s">
        <v>149</v>
      </c>
      <c r="C267" s="48" t="s">
        <v>88</v>
      </c>
      <c r="D267" s="48" t="s">
        <v>2</v>
      </c>
      <c r="E267" s="48"/>
      <c r="F267" s="48"/>
      <c r="G267" s="238">
        <f>H267+I267+J267+K267</f>
        <v>2946671</v>
      </c>
      <c r="H267" s="238">
        <f aca="true" t="shared" si="32" ref="H267:M267">H268+H299+H302</f>
        <v>352472</v>
      </c>
      <c r="I267" s="238">
        <f t="shared" si="32"/>
        <v>1292002</v>
      </c>
      <c r="J267" s="238">
        <f t="shared" si="32"/>
        <v>896452</v>
      </c>
      <c r="K267" s="238">
        <f t="shared" si="32"/>
        <v>405745</v>
      </c>
      <c r="L267" s="238" t="e">
        <f t="shared" si="32"/>
        <v>#REF!</v>
      </c>
      <c r="M267" s="238" t="e">
        <f t="shared" si="32"/>
        <v>#REF!</v>
      </c>
    </row>
    <row r="268" spans="1:13" s="45" customFormat="1" ht="25.5">
      <c r="A268" s="10" t="s">
        <v>248</v>
      </c>
      <c r="B268" s="44" t="s">
        <v>149</v>
      </c>
      <c r="C268" s="44" t="s">
        <v>82</v>
      </c>
      <c r="D268" s="44" t="s">
        <v>69</v>
      </c>
      <c r="E268" s="44"/>
      <c r="F268" s="44"/>
      <c r="G268" s="235">
        <f>H268+I268+J268+K268</f>
        <v>2124500</v>
      </c>
      <c r="H268" s="239">
        <f aca="true" t="shared" si="33" ref="H268:M269">H269</f>
        <v>247630</v>
      </c>
      <c r="I268" s="239">
        <f t="shared" si="33"/>
        <v>1150760</v>
      </c>
      <c r="J268" s="239">
        <f t="shared" si="33"/>
        <v>491610</v>
      </c>
      <c r="K268" s="239">
        <f t="shared" si="33"/>
        <v>234500</v>
      </c>
      <c r="L268" s="214">
        <f>'ИСПОЛНЕНИЕ 1 КВ.'!H268+'ИСПОЛНЕНИЕ 2 КВ. '!I268</f>
        <v>3195227.3</v>
      </c>
      <c r="M268" s="239">
        <f t="shared" si="33"/>
        <v>-386719.2999999998</v>
      </c>
    </row>
    <row r="269" spans="1:13" s="21" customFormat="1" ht="15" customHeight="1">
      <c r="A269" s="12" t="s">
        <v>37</v>
      </c>
      <c r="B269" s="20" t="s">
        <v>149</v>
      </c>
      <c r="C269" s="20" t="s">
        <v>82</v>
      </c>
      <c r="D269" s="20" t="s">
        <v>69</v>
      </c>
      <c r="E269" s="20" t="s">
        <v>38</v>
      </c>
      <c r="F269" s="20"/>
      <c r="G269" s="240">
        <f>H269+I269+J269+K269</f>
        <v>2124500</v>
      </c>
      <c r="H269" s="236">
        <f t="shared" si="33"/>
        <v>247630</v>
      </c>
      <c r="I269" s="236">
        <f t="shared" si="33"/>
        <v>1150760</v>
      </c>
      <c r="J269" s="236">
        <f t="shared" si="33"/>
        <v>491610</v>
      </c>
      <c r="K269" s="236">
        <f t="shared" si="33"/>
        <v>234500</v>
      </c>
      <c r="L269" s="214">
        <f>'ИСПОЛНЕНИЕ 1 КВ.'!H269+'ИСПОЛНЕНИЕ 2 КВ. '!I269</f>
        <v>3195227.3</v>
      </c>
      <c r="M269" s="236">
        <f t="shared" si="33"/>
        <v>-386719.2999999998</v>
      </c>
    </row>
    <row r="270" spans="1:13" s="21" customFormat="1" ht="24" customHeight="1">
      <c r="A270" s="19" t="s">
        <v>392</v>
      </c>
      <c r="B270" s="20"/>
      <c r="C270" s="20"/>
      <c r="D270" s="20"/>
      <c r="E270" s="20"/>
      <c r="F270" s="20" t="s">
        <v>382</v>
      </c>
      <c r="G270" s="240">
        <f>H270+I270+J270+K270</f>
        <v>2124500</v>
      </c>
      <c r="H270" s="236">
        <f aca="true" t="shared" si="34" ref="H270:M270">H292+H293+H294+H295+H296+H297+H298</f>
        <v>247630</v>
      </c>
      <c r="I270" s="236">
        <f t="shared" si="34"/>
        <v>1150760</v>
      </c>
      <c r="J270" s="236">
        <f t="shared" si="34"/>
        <v>491610</v>
      </c>
      <c r="K270" s="236">
        <f t="shared" si="34"/>
        <v>234500</v>
      </c>
      <c r="L270" s="214">
        <f>'ИСПОЛНЕНИЕ 1 КВ.'!H270+'ИСПОЛНЕНИЕ 2 КВ. '!I270</f>
        <v>2524836.8</v>
      </c>
      <c r="M270" s="236">
        <f t="shared" si="34"/>
        <v>-386719.2999999998</v>
      </c>
    </row>
    <row r="271" spans="1:13" s="21" customFormat="1" ht="25.5" hidden="1">
      <c r="A271" s="16" t="s">
        <v>226</v>
      </c>
      <c r="B271" s="20"/>
      <c r="C271" s="20"/>
      <c r="D271" s="20"/>
      <c r="E271" s="20"/>
      <c r="F271" s="20"/>
      <c r="G271" s="236"/>
      <c r="H271" s="236"/>
      <c r="I271" s="236"/>
      <c r="J271" s="236"/>
      <c r="K271" s="236"/>
      <c r="L271" s="214">
        <f>'ИСПОЛНЕНИЕ 1 КВ.'!H271+'ИСПОЛНЕНИЕ 2 КВ. '!I271</f>
        <v>0</v>
      </c>
      <c r="M271" s="236"/>
    </row>
    <row r="272" spans="1:13" s="21" customFormat="1" ht="51" hidden="1">
      <c r="A272" s="103" t="s">
        <v>227</v>
      </c>
      <c r="B272" s="20"/>
      <c r="C272" s="20"/>
      <c r="D272" s="20"/>
      <c r="E272" s="20"/>
      <c r="F272" s="20"/>
      <c r="G272" s="236"/>
      <c r="H272" s="236"/>
      <c r="I272" s="236"/>
      <c r="J272" s="236"/>
      <c r="K272" s="236"/>
      <c r="L272" s="214">
        <f>'ИСПОЛНЕНИЕ 1 КВ.'!H272+'ИСПОЛНЕНИЕ 2 КВ. '!I272</f>
        <v>0</v>
      </c>
      <c r="M272" s="236"/>
    </row>
    <row r="273" spans="1:13" s="21" customFormat="1" ht="38.25" hidden="1">
      <c r="A273" s="35" t="s">
        <v>95</v>
      </c>
      <c r="B273" s="20"/>
      <c r="C273" s="20"/>
      <c r="D273" s="20"/>
      <c r="E273" s="20"/>
      <c r="F273" s="20"/>
      <c r="G273" s="236"/>
      <c r="H273" s="236"/>
      <c r="I273" s="236"/>
      <c r="J273" s="236"/>
      <c r="K273" s="236"/>
      <c r="L273" s="214">
        <f>'ИСПОЛНЕНИЕ 1 КВ.'!H273+'ИСПОЛНЕНИЕ 2 КВ. '!I273</f>
        <v>0</v>
      </c>
      <c r="M273" s="236"/>
    </row>
    <row r="274" spans="1:13" s="21" customFormat="1" ht="23.25" customHeight="1" hidden="1">
      <c r="A274" s="35" t="s">
        <v>96</v>
      </c>
      <c r="B274" s="20"/>
      <c r="C274" s="20"/>
      <c r="D274" s="20"/>
      <c r="E274" s="20"/>
      <c r="F274" s="20"/>
      <c r="G274" s="236"/>
      <c r="H274" s="236"/>
      <c r="I274" s="236"/>
      <c r="J274" s="236"/>
      <c r="K274" s="236"/>
      <c r="L274" s="214">
        <f>'ИСПОЛНЕНИЕ 1 КВ.'!H274+'ИСПОЛНЕНИЕ 2 КВ. '!I274</f>
        <v>0</v>
      </c>
      <c r="M274" s="236"/>
    </row>
    <row r="275" spans="1:13" s="21" customFormat="1" ht="12.75" hidden="1">
      <c r="A275" s="36" t="s">
        <v>97</v>
      </c>
      <c r="B275" s="20"/>
      <c r="C275" s="20"/>
      <c r="D275" s="20"/>
      <c r="E275" s="20"/>
      <c r="F275" s="20"/>
      <c r="G275" s="236"/>
      <c r="H275" s="236"/>
      <c r="I275" s="236"/>
      <c r="J275" s="236"/>
      <c r="K275" s="236"/>
      <c r="L275" s="214">
        <f>'ИСПОЛНЕНИЕ 1 КВ.'!H275+'ИСПОЛНЕНИЕ 2 КВ. '!I275</f>
        <v>0</v>
      </c>
      <c r="M275" s="236"/>
    </row>
    <row r="276" spans="1:13" s="21" customFormat="1" ht="12.75" hidden="1">
      <c r="A276" s="35" t="s">
        <v>98</v>
      </c>
      <c r="B276" s="20"/>
      <c r="C276" s="20"/>
      <c r="D276" s="20"/>
      <c r="E276" s="20"/>
      <c r="F276" s="20"/>
      <c r="G276" s="236"/>
      <c r="H276" s="236"/>
      <c r="I276" s="236"/>
      <c r="J276" s="236"/>
      <c r="K276" s="236"/>
      <c r="L276" s="214">
        <f>'ИСПОЛНЕНИЕ 1 КВ.'!H276+'ИСПОЛНЕНИЕ 2 КВ. '!I276</f>
        <v>0</v>
      </c>
      <c r="M276" s="236"/>
    </row>
    <row r="277" spans="1:13" s="21" customFormat="1" ht="12.75" hidden="1">
      <c r="A277" s="37" t="s">
        <v>99</v>
      </c>
      <c r="B277" s="20"/>
      <c r="C277" s="20"/>
      <c r="D277" s="20"/>
      <c r="E277" s="20"/>
      <c r="F277" s="20"/>
      <c r="G277" s="236"/>
      <c r="H277" s="236"/>
      <c r="I277" s="236"/>
      <c r="J277" s="236"/>
      <c r="K277" s="236"/>
      <c r="L277" s="214">
        <f>'ИСПОЛНЕНИЕ 1 КВ.'!H277+'ИСПОЛНЕНИЕ 2 КВ. '!I277</f>
        <v>0</v>
      </c>
      <c r="M277" s="236"/>
    </row>
    <row r="278" spans="1:13" s="21" customFormat="1" ht="25.5" hidden="1">
      <c r="A278" s="38" t="s">
        <v>100</v>
      </c>
      <c r="B278" s="20"/>
      <c r="C278" s="20"/>
      <c r="D278" s="20"/>
      <c r="E278" s="20"/>
      <c r="F278" s="20"/>
      <c r="G278" s="236"/>
      <c r="H278" s="236"/>
      <c r="I278" s="236"/>
      <c r="J278" s="236"/>
      <c r="K278" s="236"/>
      <c r="L278" s="214">
        <f>'ИСПОЛНЕНИЕ 1 КВ.'!H278+'ИСПОЛНЕНИЕ 2 КВ. '!I278</f>
        <v>0</v>
      </c>
      <c r="M278" s="236"/>
    </row>
    <row r="279" spans="1:13" s="21" customFormat="1" ht="12.75" hidden="1">
      <c r="A279" s="39" t="s">
        <v>101</v>
      </c>
      <c r="B279" s="20"/>
      <c r="C279" s="20"/>
      <c r="D279" s="20"/>
      <c r="E279" s="20"/>
      <c r="F279" s="20"/>
      <c r="G279" s="236"/>
      <c r="H279" s="236"/>
      <c r="I279" s="236"/>
      <c r="J279" s="236"/>
      <c r="K279" s="236"/>
      <c r="L279" s="214">
        <f>'ИСПОЛНЕНИЕ 1 КВ.'!H279+'ИСПОЛНЕНИЕ 2 КВ. '!I279</f>
        <v>0</v>
      </c>
      <c r="M279" s="236"/>
    </row>
    <row r="280" spans="1:13" s="21" customFormat="1" ht="12.75" hidden="1">
      <c r="A280" s="39" t="s">
        <v>102</v>
      </c>
      <c r="B280" s="20"/>
      <c r="C280" s="20"/>
      <c r="D280" s="20"/>
      <c r="E280" s="20"/>
      <c r="F280" s="20"/>
      <c r="G280" s="236"/>
      <c r="H280" s="236"/>
      <c r="I280" s="236"/>
      <c r="J280" s="236"/>
      <c r="K280" s="236"/>
      <c r="L280" s="214">
        <f>'ИСПОЛНЕНИЕ 1 КВ.'!H280+'ИСПОЛНЕНИЕ 2 КВ. '!I280</f>
        <v>0</v>
      </c>
      <c r="M280" s="236"/>
    </row>
    <row r="281" spans="1:13" s="21" customFormat="1" ht="25.5" hidden="1">
      <c r="A281" s="40" t="s">
        <v>103</v>
      </c>
      <c r="B281" s="20"/>
      <c r="C281" s="20"/>
      <c r="D281" s="20"/>
      <c r="E281" s="20"/>
      <c r="F281" s="20"/>
      <c r="G281" s="236"/>
      <c r="H281" s="236"/>
      <c r="I281" s="236"/>
      <c r="J281" s="236"/>
      <c r="K281" s="236"/>
      <c r="L281" s="214">
        <f>'ИСПОЛНЕНИЕ 1 КВ.'!H281+'ИСПОЛНЕНИЕ 2 КВ. '!I281</f>
        <v>0</v>
      </c>
      <c r="M281" s="236"/>
    </row>
    <row r="282" spans="1:13" s="21" customFormat="1" ht="25.5" hidden="1">
      <c r="A282" s="40" t="s">
        <v>104</v>
      </c>
      <c r="B282" s="20"/>
      <c r="C282" s="20"/>
      <c r="D282" s="20"/>
      <c r="E282" s="20"/>
      <c r="F282" s="20"/>
      <c r="G282" s="236"/>
      <c r="H282" s="236"/>
      <c r="I282" s="236"/>
      <c r="J282" s="236"/>
      <c r="K282" s="236"/>
      <c r="L282" s="214">
        <f>'ИСПОЛНЕНИЕ 1 КВ.'!H282+'ИСПОЛНЕНИЕ 2 КВ. '!I282</f>
        <v>0</v>
      </c>
      <c r="M282" s="236"/>
    </row>
    <row r="283" spans="1:13" s="21" customFormat="1" ht="12.75" hidden="1">
      <c r="A283" s="41" t="s">
        <v>105</v>
      </c>
      <c r="B283" s="20"/>
      <c r="C283" s="20"/>
      <c r="D283" s="20"/>
      <c r="E283" s="20"/>
      <c r="F283" s="20"/>
      <c r="G283" s="236"/>
      <c r="H283" s="236"/>
      <c r="I283" s="236"/>
      <c r="J283" s="236"/>
      <c r="K283" s="236"/>
      <c r="L283" s="214">
        <f>'ИСПОЛНЕНИЕ 1 КВ.'!H283+'ИСПОЛНЕНИЕ 2 КВ. '!I283</f>
        <v>0</v>
      </c>
      <c r="M283" s="236"/>
    </row>
    <row r="284" spans="1:13" s="21" customFormat="1" ht="12.75" hidden="1">
      <c r="A284" s="42" t="s">
        <v>106</v>
      </c>
      <c r="B284" s="20"/>
      <c r="C284" s="20"/>
      <c r="D284" s="20"/>
      <c r="E284" s="20"/>
      <c r="F284" s="20"/>
      <c r="G284" s="236"/>
      <c r="H284" s="236"/>
      <c r="I284" s="236"/>
      <c r="J284" s="236"/>
      <c r="K284" s="236"/>
      <c r="L284" s="214">
        <f>'ИСПОЛНЕНИЕ 1 КВ.'!H284+'ИСПОЛНЕНИЕ 2 КВ. '!I284</f>
        <v>0</v>
      </c>
      <c r="M284" s="236"/>
    </row>
    <row r="285" spans="1:13" s="21" customFormat="1" ht="12.75" hidden="1">
      <c r="A285" s="42" t="s">
        <v>107</v>
      </c>
      <c r="B285" s="20"/>
      <c r="C285" s="20"/>
      <c r="D285" s="20"/>
      <c r="E285" s="20"/>
      <c r="F285" s="20"/>
      <c r="G285" s="236"/>
      <c r="H285" s="236"/>
      <c r="I285" s="236"/>
      <c r="J285" s="236"/>
      <c r="K285" s="236"/>
      <c r="L285" s="214">
        <f>'ИСПОЛНЕНИЕ 1 КВ.'!H285+'ИСПОЛНЕНИЕ 2 КВ. '!I285</f>
        <v>0</v>
      </c>
      <c r="M285" s="236"/>
    </row>
    <row r="286" spans="1:13" s="21" customFormat="1" ht="12.75" hidden="1">
      <c r="A286" s="42" t="s">
        <v>108</v>
      </c>
      <c r="B286" s="20"/>
      <c r="C286" s="20"/>
      <c r="D286" s="20"/>
      <c r="E286" s="20"/>
      <c r="F286" s="20"/>
      <c r="G286" s="236"/>
      <c r="H286" s="236"/>
      <c r="I286" s="236"/>
      <c r="J286" s="236"/>
      <c r="K286" s="236"/>
      <c r="L286" s="214">
        <f>'ИСПОЛНЕНИЕ 1 КВ.'!H286+'ИСПОЛНЕНИЕ 2 КВ. '!I286</f>
        <v>0</v>
      </c>
      <c r="M286" s="236"/>
    </row>
    <row r="287" spans="1:13" s="21" customFormat="1" ht="12.75" hidden="1">
      <c r="A287" s="37" t="s">
        <v>109</v>
      </c>
      <c r="B287" s="20"/>
      <c r="C287" s="20"/>
      <c r="D287" s="20"/>
      <c r="E287" s="20"/>
      <c r="F287" s="20"/>
      <c r="G287" s="236"/>
      <c r="H287" s="236"/>
      <c r="I287" s="236"/>
      <c r="J287" s="236"/>
      <c r="K287" s="236"/>
      <c r="L287" s="214">
        <f>'ИСПОЛНЕНИЕ 1 КВ.'!H287+'ИСПОЛНЕНИЕ 2 КВ. '!I287</f>
        <v>0</v>
      </c>
      <c r="M287" s="236"/>
    </row>
    <row r="288" spans="1:13" s="21" customFormat="1" ht="12.75" hidden="1">
      <c r="A288" s="37" t="s">
        <v>110</v>
      </c>
      <c r="B288" s="20"/>
      <c r="C288" s="20"/>
      <c r="D288" s="20"/>
      <c r="E288" s="20"/>
      <c r="F288" s="20"/>
      <c r="G288" s="236"/>
      <c r="H288" s="236"/>
      <c r="I288" s="236"/>
      <c r="J288" s="236"/>
      <c r="K288" s="236"/>
      <c r="L288" s="214">
        <f>'ИСПОЛНЕНИЕ 1 КВ.'!H288+'ИСПОЛНЕНИЕ 2 КВ. '!I288</f>
        <v>0</v>
      </c>
      <c r="M288" s="236"/>
    </row>
    <row r="289" spans="1:13" s="21" customFormat="1" ht="12.75" hidden="1">
      <c r="A289" s="37" t="s">
        <v>111</v>
      </c>
      <c r="B289" s="20"/>
      <c r="C289" s="20"/>
      <c r="D289" s="20"/>
      <c r="E289" s="20"/>
      <c r="F289" s="20"/>
      <c r="G289" s="236"/>
      <c r="H289" s="236"/>
      <c r="I289" s="236"/>
      <c r="J289" s="236"/>
      <c r="K289" s="236"/>
      <c r="L289" s="214">
        <f>'ИСПОЛНЕНИЕ 1 КВ.'!H289+'ИСПОЛНЕНИЕ 2 КВ. '!I289</f>
        <v>0</v>
      </c>
      <c r="M289" s="236"/>
    </row>
    <row r="290" spans="1:13" s="21" customFormat="1" ht="12.75" hidden="1">
      <c r="A290" s="34" t="s">
        <v>112</v>
      </c>
      <c r="B290" s="20"/>
      <c r="C290" s="20"/>
      <c r="D290" s="20"/>
      <c r="E290" s="20"/>
      <c r="F290" s="20"/>
      <c r="G290" s="236"/>
      <c r="H290" s="236"/>
      <c r="I290" s="236"/>
      <c r="J290" s="236"/>
      <c r="K290" s="236"/>
      <c r="L290" s="214">
        <f>'ИСПОЛНЕНИЕ 1 КВ.'!H290+'ИСПОЛНЕНИЕ 2 КВ. '!I290</f>
        <v>0</v>
      </c>
      <c r="M290" s="236"/>
    </row>
    <row r="291" spans="1:13" s="21" customFormat="1" ht="25.5" hidden="1">
      <c r="A291" s="47" t="s">
        <v>204</v>
      </c>
      <c r="B291" s="48" t="s">
        <v>149</v>
      </c>
      <c r="C291" s="48" t="s">
        <v>205</v>
      </c>
      <c r="D291" s="48" t="s">
        <v>206</v>
      </c>
      <c r="E291" s="48" t="s">
        <v>2</v>
      </c>
      <c r="F291" s="48"/>
      <c r="G291" s="236"/>
      <c r="H291" s="236"/>
      <c r="I291" s="236"/>
      <c r="J291" s="236"/>
      <c r="K291" s="236"/>
      <c r="L291" s="214">
        <f>'ИСПОЛНЕНИЕ 1 КВ.'!H291+'ИСПОЛНЕНИЕ 2 КВ. '!I291</f>
        <v>0</v>
      </c>
      <c r="M291" s="236"/>
    </row>
    <row r="292" spans="1:13" s="45" customFormat="1" ht="35.25" customHeight="1">
      <c r="A292" s="16" t="s">
        <v>249</v>
      </c>
      <c r="B292" s="44"/>
      <c r="C292" s="44"/>
      <c r="D292" s="44"/>
      <c r="E292" s="44"/>
      <c r="F292" s="20" t="s">
        <v>382</v>
      </c>
      <c r="G292" s="240">
        <f aca="true" t="shared" si="35" ref="G292:G298">H292+I292+J292+K292</f>
        <v>664500</v>
      </c>
      <c r="H292" s="240">
        <v>0</v>
      </c>
      <c r="I292" s="240">
        <f>1100000-435500</f>
        <v>664500</v>
      </c>
      <c r="J292" s="240">
        <v>0</v>
      </c>
      <c r="K292" s="240">
        <v>0</v>
      </c>
      <c r="L292" s="214">
        <f>'ИСПОЛНЕНИЕ 1 КВ.'!H292+'ИСПОЛНЕНИЕ 2 КВ. '!I292</f>
        <v>1929489.0399999998</v>
      </c>
      <c r="M292" s="239">
        <f>G292-L292</f>
        <v>-1264989.0399999998</v>
      </c>
    </row>
    <row r="293" spans="1:13" s="45" customFormat="1" ht="24" customHeight="1">
      <c r="A293" s="162" t="s">
        <v>271</v>
      </c>
      <c r="B293" s="44"/>
      <c r="C293" s="44"/>
      <c r="D293" s="44"/>
      <c r="E293" s="44"/>
      <c r="F293" s="44"/>
      <c r="G293" s="240">
        <f t="shared" si="35"/>
        <v>400000</v>
      </c>
      <c r="H293" s="236">
        <v>61000</v>
      </c>
      <c r="I293" s="236">
        <v>124760</v>
      </c>
      <c r="J293" s="236">
        <v>134740</v>
      </c>
      <c r="K293" s="236">
        <v>79500</v>
      </c>
      <c r="L293" s="214">
        <f>'ИСПОЛНЕНИЕ 1 КВ.'!H293+'ИСПОЛНЕНИЕ 2 КВ. '!I293</f>
        <v>213658</v>
      </c>
      <c r="M293" s="239">
        <f aca="true" t="shared" si="36" ref="M293:M298">G293-L293</f>
        <v>186342</v>
      </c>
    </row>
    <row r="294" spans="1:13" s="45" customFormat="1" ht="23.25" customHeight="1">
      <c r="A294" s="162" t="s">
        <v>270</v>
      </c>
      <c r="B294" s="44"/>
      <c r="C294" s="44"/>
      <c r="D294" s="44"/>
      <c r="E294" s="44"/>
      <c r="F294" s="44"/>
      <c r="G294" s="240">
        <f t="shared" si="35"/>
        <v>40000</v>
      </c>
      <c r="H294" s="236"/>
      <c r="I294" s="240">
        <v>40000</v>
      </c>
      <c r="J294" s="236"/>
      <c r="K294" s="236"/>
      <c r="L294" s="214">
        <f>'ИСПОЛНЕНИЕ 1 КВ.'!H294+'ИСПОЛНЕНИЕ 2 КВ. '!I294</f>
        <v>0</v>
      </c>
      <c r="M294" s="239">
        <f t="shared" si="36"/>
        <v>40000</v>
      </c>
    </row>
    <row r="295" spans="1:13" s="45" customFormat="1" ht="36.75" customHeight="1">
      <c r="A295" s="162" t="s">
        <v>307</v>
      </c>
      <c r="B295" s="44"/>
      <c r="C295" s="44"/>
      <c r="D295" s="44"/>
      <c r="E295" s="44"/>
      <c r="F295" s="44"/>
      <c r="G295" s="240">
        <f t="shared" si="35"/>
        <v>360000</v>
      </c>
      <c r="H295" s="236">
        <v>65000</v>
      </c>
      <c r="I295" s="236">
        <v>102500</v>
      </c>
      <c r="J295" s="236">
        <v>127500</v>
      </c>
      <c r="K295" s="236">
        <v>65000</v>
      </c>
      <c r="L295" s="214">
        <f>'ИСПОЛНЕНИЕ 1 КВ.'!H295+'ИСПОЛНЕНИЕ 2 КВ. '!I295</f>
        <v>81214</v>
      </c>
      <c r="M295" s="239">
        <f t="shared" si="36"/>
        <v>278786</v>
      </c>
    </row>
    <row r="296" spans="1:13" s="45" customFormat="1" ht="36.75" customHeight="1">
      <c r="A296" s="162" t="s">
        <v>312</v>
      </c>
      <c r="B296" s="44"/>
      <c r="C296" s="44"/>
      <c r="D296" s="44"/>
      <c r="E296" s="44"/>
      <c r="F296" s="44"/>
      <c r="G296" s="240">
        <f t="shared" si="35"/>
        <v>300000</v>
      </c>
      <c r="H296" s="236">
        <v>40000</v>
      </c>
      <c r="I296" s="236">
        <v>90000</v>
      </c>
      <c r="J296" s="236">
        <v>125000</v>
      </c>
      <c r="K296" s="236">
        <v>45000</v>
      </c>
      <c r="L296" s="214">
        <f>'ИСПОЛНЕНИЕ 1 КВ.'!H296+'ИСПОЛНЕНИЕ 2 КВ. '!I296</f>
        <v>76970</v>
      </c>
      <c r="M296" s="239">
        <f t="shared" si="36"/>
        <v>223030</v>
      </c>
    </row>
    <row r="297" spans="1:13" s="45" customFormat="1" ht="15.75" customHeight="1">
      <c r="A297" s="188" t="s">
        <v>308</v>
      </c>
      <c r="B297" s="20"/>
      <c r="C297" s="20"/>
      <c r="D297" s="20"/>
      <c r="E297" s="20"/>
      <c r="F297" s="20"/>
      <c r="G297" s="236">
        <f t="shared" si="35"/>
        <v>180000</v>
      </c>
      <c r="H297" s="236">
        <v>60000</v>
      </c>
      <c r="I297" s="236">
        <v>60000</v>
      </c>
      <c r="J297" s="236">
        <v>60000</v>
      </c>
      <c r="K297" s="236"/>
      <c r="L297" s="214">
        <f>'ИСПОЛНЕНИЕ 1 КВ.'!H297+'ИСПОЛНЕНИЕ 2 КВ. '!I297</f>
        <v>2069.76</v>
      </c>
      <c r="M297" s="239">
        <f t="shared" si="36"/>
        <v>177930.24</v>
      </c>
    </row>
    <row r="298" spans="1:13" s="21" customFormat="1" ht="24.75" customHeight="1">
      <c r="A298" s="168" t="s">
        <v>289</v>
      </c>
      <c r="B298" s="17"/>
      <c r="C298" s="17"/>
      <c r="D298" s="17"/>
      <c r="E298" s="17"/>
      <c r="F298" s="17"/>
      <c r="G298" s="240">
        <f t="shared" si="35"/>
        <v>180000</v>
      </c>
      <c r="H298" s="236">
        <f>21710-80</f>
        <v>21630</v>
      </c>
      <c r="I298" s="236">
        <v>69000</v>
      </c>
      <c r="J298" s="236">
        <v>44370</v>
      </c>
      <c r="K298" s="236">
        <v>45000</v>
      </c>
      <c r="L298" s="214">
        <f>'ИСПОЛНЕНИЕ 1 КВ.'!H298+'ИСПОЛНЕНИЕ 2 КВ. '!I299</f>
        <v>207818.5</v>
      </c>
      <c r="M298" s="239">
        <f t="shared" si="36"/>
        <v>-27818.5</v>
      </c>
    </row>
    <row r="299" spans="1:13" s="45" customFormat="1" ht="13.5" customHeight="1">
      <c r="A299" s="187" t="s">
        <v>47</v>
      </c>
      <c r="B299" s="44" t="s">
        <v>149</v>
      </c>
      <c r="C299" s="44" t="s">
        <v>82</v>
      </c>
      <c r="D299" s="44" t="s">
        <v>69</v>
      </c>
      <c r="E299" s="44" t="s">
        <v>48</v>
      </c>
      <c r="F299" s="44"/>
      <c r="G299" s="239">
        <f>H299+I299+K299+J299</f>
        <v>470000</v>
      </c>
      <c r="H299" s="239">
        <f aca="true" t="shared" si="37" ref="H299:M300">H300</f>
        <v>42500</v>
      </c>
      <c r="I299" s="239">
        <f t="shared" si="37"/>
        <v>42500</v>
      </c>
      <c r="J299" s="239">
        <f t="shared" si="37"/>
        <v>342500</v>
      </c>
      <c r="K299" s="239">
        <f t="shared" si="37"/>
        <v>42500</v>
      </c>
      <c r="L299" s="239">
        <f t="shared" si="37"/>
        <v>50224</v>
      </c>
      <c r="M299" s="239">
        <f t="shared" si="37"/>
        <v>419776</v>
      </c>
    </row>
    <row r="300" spans="1:13" s="45" customFormat="1" ht="24" customHeight="1">
      <c r="A300" s="19" t="s">
        <v>393</v>
      </c>
      <c r="B300" s="44"/>
      <c r="C300" s="44"/>
      <c r="D300" s="44"/>
      <c r="E300" s="44"/>
      <c r="F300" s="20" t="s">
        <v>394</v>
      </c>
      <c r="G300" s="236">
        <f aca="true" t="shared" si="38" ref="G300:G337">H300+I300+J300+K300</f>
        <v>470000</v>
      </c>
      <c r="H300" s="236">
        <f t="shared" si="37"/>
        <v>42500</v>
      </c>
      <c r="I300" s="236">
        <f t="shared" si="37"/>
        <v>42500</v>
      </c>
      <c r="J300" s="236">
        <f t="shared" si="37"/>
        <v>342500</v>
      </c>
      <c r="K300" s="236">
        <f t="shared" si="37"/>
        <v>42500</v>
      </c>
      <c r="L300" s="214">
        <f>'ИСПОЛНЕНИЕ 1 КВ.'!H300+'ИСПОЛНЕНИЕ 2 КВ. '!I301</f>
        <v>50224</v>
      </c>
      <c r="M300" s="236">
        <f t="shared" si="37"/>
        <v>419776</v>
      </c>
    </row>
    <row r="301" spans="1:13" s="45" customFormat="1" ht="24.75" customHeight="1">
      <c r="A301" s="16" t="s">
        <v>92</v>
      </c>
      <c r="B301" s="44"/>
      <c r="C301" s="44"/>
      <c r="D301" s="44"/>
      <c r="E301" s="44"/>
      <c r="F301" s="44"/>
      <c r="G301" s="240">
        <f t="shared" si="38"/>
        <v>470000</v>
      </c>
      <c r="H301" s="236">
        <v>42500</v>
      </c>
      <c r="I301" s="236">
        <v>42500</v>
      </c>
      <c r="J301" s="236">
        <f>42500+300000</f>
        <v>342500</v>
      </c>
      <c r="K301" s="236">
        <v>42500</v>
      </c>
      <c r="L301" s="214">
        <f>'ИСПОЛНЕНИЕ 1 КВ.'!H301+'ИСПОЛНЕНИЕ 2 КВ. '!I302</f>
        <v>50224</v>
      </c>
      <c r="M301" s="239">
        <f>G301-L301</f>
        <v>419776</v>
      </c>
    </row>
    <row r="302" spans="1:13" s="45" customFormat="1" ht="51" customHeight="1">
      <c r="A302" s="10" t="s">
        <v>251</v>
      </c>
      <c r="B302" s="44" t="s">
        <v>149</v>
      </c>
      <c r="C302" s="44" t="s">
        <v>301</v>
      </c>
      <c r="D302" s="44" t="s">
        <v>255</v>
      </c>
      <c r="E302" s="44" t="s">
        <v>2</v>
      </c>
      <c r="F302" s="44"/>
      <c r="G302" s="243">
        <f aca="true" t="shared" si="39" ref="G302:G315">H302+I302+J302+K302</f>
        <v>352171</v>
      </c>
      <c r="H302" s="235">
        <f aca="true" t="shared" si="40" ref="H302:M302">H303+H310</f>
        <v>62342</v>
      </c>
      <c r="I302" s="235">
        <f t="shared" si="40"/>
        <v>98742</v>
      </c>
      <c r="J302" s="235">
        <f t="shared" si="40"/>
        <v>62342</v>
      </c>
      <c r="K302" s="235">
        <f t="shared" si="40"/>
        <v>128745</v>
      </c>
      <c r="L302" s="235" t="e">
        <f t="shared" si="40"/>
        <v>#REF!</v>
      </c>
      <c r="M302" s="235" t="e">
        <f t="shared" si="40"/>
        <v>#REF!</v>
      </c>
    </row>
    <row r="303" spans="1:13" s="45" customFormat="1" ht="15" customHeight="1">
      <c r="A303" s="185" t="s">
        <v>4</v>
      </c>
      <c r="B303" s="14" t="s">
        <v>149</v>
      </c>
      <c r="C303" s="14" t="s">
        <v>301</v>
      </c>
      <c r="D303" s="14" t="s">
        <v>255</v>
      </c>
      <c r="E303" s="14" t="s">
        <v>5</v>
      </c>
      <c r="F303" s="44"/>
      <c r="G303" s="243">
        <f t="shared" si="39"/>
        <v>303171</v>
      </c>
      <c r="H303" s="235">
        <f aca="true" t="shared" si="41" ref="H303:M303">H304+H305+H309</f>
        <v>62342</v>
      </c>
      <c r="I303" s="235">
        <f t="shared" si="41"/>
        <v>98742</v>
      </c>
      <c r="J303" s="235">
        <f t="shared" si="41"/>
        <v>62342</v>
      </c>
      <c r="K303" s="235">
        <f t="shared" si="41"/>
        <v>79745</v>
      </c>
      <c r="L303" s="235">
        <f t="shared" si="41"/>
        <v>217892.94</v>
      </c>
      <c r="M303" s="235">
        <f t="shared" si="41"/>
        <v>85278.06</v>
      </c>
    </row>
    <row r="304" spans="1:13" s="45" customFormat="1" ht="13.5" customHeight="1">
      <c r="A304" s="118" t="s">
        <v>6</v>
      </c>
      <c r="B304" s="17" t="s">
        <v>149</v>
      </c>
      <c r="C304" s="17" t="s">
        <v>301</v>
      </c>
      <c r="D304" s="17" t="s">
        <v>255</v>
      </c>
      <c r="E304" s="17" t="s">
        <v>7</v>
      </c>
      <c r="F304" s="17" t="s">
        <v>396</v>
      </c>
      <c r="G304" s="241">
        <f t="shared" si="39"/>
        <v>197600</v>
      </c>
      <c r="H304" s="240">
        <v>49400</v>
      </c>
      <c r="I304" s="240">
        <v>49400</v>
      </c>
      <c r="J304" s="240">
        <v>49400</v>
      </c>
      <c r="K304" s="240">
        <v>49400</v>
      </c>
      <c r="L304" s="214">
        <f>'ИСПОЛНЕНИЕ 1 КВ.'!H304+'ИСПОЛНЕНИЕ 2 КВ. '!I306</f>
        <v>148056</v>
      </c>
      <c r="M304" s="239">
        <f>G304-L304</f>
        <v>49544</v>
      </c>
    </row>
    <row r="305" spans="1:13" s="45" customFormat="1" ht="12.75" customHeight="1">
      <c r="A305" s="118" t="s">
        <v>8</v>
      </c>
      <c r="B305" s="17" t="s">
        <v>149</v>
      </c>
      <c r="C305" s="17" t="s">
        <v>301</v>
      </c>
      <c r="D305" s="17" t="s">
        <v>255</v>
      </c>
      <c r="E305" s="17" t="s">
        <v>9</v>
      </c>
      <c r="F305" s="164"/>
      <c r="G305" s="241">
        <f t="shared" si="39"/>
        <v>53800</v>
      </c>
      <c r="H305" s="244">
        <f aca="true" t="shared" si="42" ref="H305:M305">H306+H307+H308</f>
        <v>0</v>
      </c>
      <c r="I305" s="244">
        <f t="shared" si="42"/>
        <v>36400</v>
      </c>
      <c r="J305" s="244">
        <f t="shared" si="42"/>
        <v>0</v>
      </c>
      <c r="K305" s="244">
        <f t="shared" si="42"/>
        <v>17400</v>
      </c>
      <c r="L305" s="244">
        <f t="shared" si="42"/>
        <v>33850</v>
      </c>
      <c r="M305" s="244">
        <f t="shared" si="42"/>
        <v>19950</v>
      </c>
    </row>
    <row r="306" spans="1:13" s="45" customFormat="1" ht="25.5" customHeight="1">
      <c r="A306" s="11" t="s">
        <v>360</v>
      </c>
      <c r="B306" s="4"/>
      <c r="C306" s="4"/>
      <c r="D306" s="4"/>
      <c r="E306" s="4"/>
      <c r="F306" s="4" t="s">
        <v>398</v>
      </c>
      <c r="G306" s="241">
        <f t="shared" si="39"/>
        <v>17400</v>
      </c>
      <c r="H306" s="244"/>
      <c r="I306" s="244"/>
      <c r="J306" s="244"/>
      <c r="K306" s="240">
        <v>17400</v>
      </c>
      <c r="L306" s="214">
        <f>'ИСПОЛНЕНИЕ 1 КВ.'!H306+'ИСПОЛНЕНИЕ 2 КВ. '!I308</f>
        <v>0</v>
      </c>
      <c r="M306" s="239">
        <f>G306-L306</f>
        <v>17400</v>
      </c>
    </row>
    <row r="307" spans="1:13" s="45" customFormat="1" ht="15.75" customHeight="1">
      <c r="A307" s="12" t="s">
        <v>343</v>
      </c>
      <c r="B307" s="4"/>
      <c r="C307" s="4"/>
      <c r="D307" s="4"/>
      <c r="E307" s="4"/>
      <c r="F307" s="4"/>
      <c r="G307" s="241">
        <f t="shared" si="39"/>
        <v>0</v>
      </c>
      <c r="H307" s="244"/>
      <c r="I307" s="244"/>
      <c r="J307" s="244"/>
      <c r="K307" s="244"/>
      <c r="L307" s="214">
        <f>'ИСПОЛНЕНИЕ 1 КВ.'!H307+'ИСПОЛНЕНИЕ 2 КВ. '!I309</f>
        <v>0</v>
      </c>
      <c r="M307" s="239">
        <f>G307-L307</f>
        <v>0</v>
      </c>
    </row>
    <row r="308" spans="1:13" s="45" customFormat="1" ht="26.25" customHeight="1">
      <c r="A308" s="6" t="s">
        <v>361</v>
      </c>
      <c r="B308" s="4"/>
      <c r="C308" s="4"/>
      <c r="D308" s="4"/>
      <c r="E308" s="4"/>
      <c r="F308" s="4" t="s">
        <v>397</v>
      </c>
      <c r="G308" s="241">
        <f t="shared" si="39"/>
        <v>36400</v>
      </c>
      <c r="H308" s="244"/>
      <c r="I308" s="240">
        <v>36400</v>
      </c>
      <c r="J308" s="244"/>
      <c r="K308" s="244"/>
      <c r="L308" s="214">
        <f>'ИСПОЛНЕНИЕ 1 КВ.'!H308+'ИСПОЛНЕНИЕ 2 КВ. '!I310</f>
        <v>33850</v>
      </c>
      <c r="M308" s="239">
        <f>G308-L308</f>
        <v>2550</v>
      </c>
    </row>
    <row r="309" spans="1:13" s="45" customFormat="1" ht="13.5" customHeight="1">
      <c r="A309" s="118" t="s">
        <v>13</v>
      </c>
      <c r="B309" s="17" t="s">
        <v>149</v>
      </c>
      <c r="C309" s="17" t="s">
        <v>301</v>
      </c>
      <c r="D309" s="17" t="s">
        <v>255</v>
      </c>
      <c r="E309" s="17" t="s">
        <v>14</v>
      </c>
      <c r="F309" s="17" t="s">
        <v>396</v>
      </c>
      <c r="G309" s="241">
        <f t="shared" si="39"/>
        <v>51771</v>
      </c>
      <c r="H309" s="240">
        <v>12942</v>
      </c>
      <c r="I309" s="240">
        <v>12942</v>
      </c>
      <c r="J309" s="240">
        <v>12942</v>
      </c>
      <c r="K309" s="240">
        <v>12945</v>
      </c>
      <c r="L309" s="214">
        <f>'ИСПОЛНЕНИЕ 1 КВ.'!H309+'ИСПОЛНЕНИЕ 2 КВ. '!I311</f>
        <v>35986.94</v>
      </c>
      <c r="M309" s="239">
        <f>G309-L309</f>
        <v>15784.059999999998</v>
      </c>
    </row>
    <row r="310" spans="1:13" s="45" customFormat="1" ht="15.75" customHeight="1">
      <c r="A310" s="10" t="s">
        <v>15</v>
      </c>
      <c r="B310" s="14" t="s">
        <v>149</v>
      </c>
      <c r="C310" s="14" t="s">
        <v>254</v>
      </c>
      <c r="D310" s="14" t="s">
        <v>255</v>
      </c>
      <c r="E310" s="14" t="s">
        <v>16</v>
      </c>
      <c r="F310" s="14"/>
      <c r="G310" s="243">
        <f t="shared" si="39"/>
        <v>49000</v>
      </c>
      <c r="H310" s="235">
        <f aca="true" t="shared" si="43" ref="H310:M310">H311+H312+H315</f>
        <v>0</v>
      </c>
      <c r="I310" s="235">
        <f t="shared" si="43"/>
        <v>0</v>
      </c>
      <c r="J310" s="235">
        <f t="shared" si="43"/>
        <v>0</v>
      </c>
      <c r="K310" s="235">
        <f t="shared" si="43"/>
        <v>49000</v>
      </c>
      <c r="L310" s="235" t="e">
        <f t="shared" si="43"/>
        <v>#REF!</v>
      </c>
      <c r="M310" s="235" t="e">
        <f t="shared" si="43"/>
        <v>#REF!</v>
      </c>
    </row>
    <row r="311" spans="1:13" s="45" customFormat="1" ht="15" customHeight="1">
      <c r="A311" s="19" t="s">
        <v>341</v>
      </c>
      <c r="B311" s="20" t="s">
        <v>149</v>
      </c>
      <c r="C311" s="20" t="s">
        <v>254</v>
      </c>
      <c r="D311" s="20" t="s">
        <v>255</v>
      </c>
      <c r="E311" s="20" t="s">
        <v>18</v>
      </c>
      <c r="F311" s="44"/>
      <c r="G311" s="242">
        <f t="shared" si="39"/>
        <v>0</v>
      </c>
      <c r="H311" s="235"/>
      <c r="I311" s="235"/>
      <c r="J311" s="235"/>
      <c r="K311" s="235"/>
      <c r="L311" s="214" t="e">
        <f>'ИСПОЛНЕНИЕ 1 КВ.'!H311+'ИСПОЛНЕНИЕ 2 КВ. '!#REF!</f>
        <v>#REF!</v>
      </c>
      <c r="M311" s="239"/>
    </row>
    <row r="312" spans="1:13" s="45" customFormat="1" ht="15.75" customHeight="1">
      <c r="A312" s="19" t="s">
        <v>21</v>
      </c>
      <c r="B312" s="20" t="s">
        <v>149</v>
      </c>
      <c r="C312" s="20" t="s">
        <v>254</v>
      </c>
      <c r="D312" s="20" t="s">
        <v>255</v>
      </c>
      <c r="E312" s="20" t="s">
        <v>19</v>
      </c>
      <c r="F312" s="44"/>
      <c r="G312" s="242">
        <f t="shared" si="39"/>
        <v>23000</v>
      </c>
      <c r="H312" s="235">
        <f aca="true" t="shared" si="44" ref="H312:M312">H313+H314</f>
        <v>0</v>
      </c>
      <c r="I312" s="235">
        <f t="shared" si="44"/>
        <v>0</v>
      </c>
      <c r="J312" s="235">
        <f t="shared" si="44"/>
        <v>0</v>
      </c>
      <c r="K312" s="235">
        <f t="shared" si="44"/>
        <v>23000</v>
      </c>
      <c r="L312" s="235" t="e">
        <f t="shared" si="44"/>
        <v>#REF!</v>
      </c>
      <c r="M312" s="235" t="e">
        <f t="shared" si="44"/>
        <v>#REF!</v>
      </c>
    </row>
    <row r="313" spans="1:13" s="45" customFormat="1" ht="25.5" customHeight="1">
      <c r="A313" s="11" t="s">
        <v>344</v>
      </c>
      <c r="B313" s="4"/>
      <c r="C313" s="4"/>
      <c r="D313" s="4"/>
      <c r="E313" s="4"/>
      <c r="F313" s="4" t="s">
        <v>399</v>
      </c>
      <c r="G313" s="242">
        <f t="shared" si="39"/>
        <v>23000</v>
      </c>
      <c r="H313" s="235"/>
      <c r="I313" s="235"/>
      <c r="J313" s="235"/>
      <c r="K313" s="236">
        <v>23000</v>
      </c>
      <c r="L313" s="214" t="e">
        <f>'ИСПОЛНЕНИЕ 1 КВ.'!H313+'ИСПОЛНЕНИЕ 2 КВ. '!#REF!</f>
        <v>#REF!</v>
      </c>
      <c r="M313" s="239" t="e">
        <f>G313-L313</f>
        <v>#REF!</v>
      </c>
    </row>
    <row r="314" spans="1:13" s="45" customFormat="1" ht="39.75" customHeight="1">
      <c r="A314" s="8" t="s">
        <v>362</v>
      </c>
      <c r="B314" s="4"/>
      <c r="C314" s="4"/>
      <c r="D314" s="4"/>
      <c r="E314" s="4"/>
      <c r="F314" s="4"/>
      <c r="G314" s="242">
        <f t="shared" si="39"/>
        <v>0</v>
      </c>
      <c r="H314" s="235"/>
      <c r="I314" s="235"/>
      <c r="J314" s="235"/>
      <c r="K314" s="235"/>
      <c r="L314" s="214" t="e">
        <f>'ИСПОЛНЕНИЕ 1 КВ.'!H314+'ИСПОЛНЕНИЕ 2 КВ. '!#REF!</f>
        <v>#REF!</v>
      </c>
      <c r="M314" s="239" t="e">
        <f>G314-L314</f>
        <v>#REF!</v>
      </c>
    </row>
    <row r="315" spans="1:13" s="45" customFormat="1" ht="15" customHeight="1">
      <c r="A315" s="19" t="s">
        <v>37</v>
      </c>
      <c r="B315" s="20" t="s">
        <v>149</v>
      </c>
      <c r="C315" s="20" t="s">
        <v>254</v>
      </c>
      <c r="D315" s="20" t="s">
        <v>255</v>
      </c>
      <c r="E315" s="20" t="s">
        <v>38</v>
      </c>
      <c r="F315" s="20" t="s">
        <v>400</v>
      </c>
      <c r="G315" s="242">
        <f t="shared" si="39"/>
        <v>26000</v>
      </c>
      <c r="H315" s="235"/>
      <c r="I315" s="235"/>
      <c r="J315" s="235"/>
      <c r="K315" s="236">
        <v>26000</v>
      </c>
      <c r="L315" s="214" t="e">
        <f>'ИСПОЛНЕНИЕ 1 КВ.'!H315+'ИСПОЛНЕНИЕ 2 КВ. '!#REF!</f>
        <v>#REF!</v>
      </c>
      <c r="M315" s="239" t="e">
        <f>G315-L315</f>
        <v>#REF!</v>
      </c>
    </row>
    <row r="316" spans="1:13" s="45" customFormat="1" ht="15.75" customHeight="1">
      <c r="A316" s="47" t="s">
        <v>297</v>
      </c>
      <c r="B316" s="82" t="s">
        <v>298</v>
      </c>
      <c r="C316" s="82" t="s">
        <v>88</v>
      </c>
      <c r="D316" s="82" t="s">
        <v>2</v>
      </c>
      <c r="E316" s="82"/>
      <c r="F316" s="82"/>
      <c r="G316" s="238">
        <f t="shared" si="38"/>
        <v>1172387</v>
      </c>
      <c r="H316" s="238">
        <f aca="true" t="shared" si="45" ref="H316:M316">H317</f>
        <v>293099</v>
      </c>
      <c r="I316" s="238">
        <f t="shared" si="45"/>
        <v>293099</v>
      </c>
      <c r="J316" s="238">
        <f t="shared" si="45"/>
        <v>293099</v>
      </c>
      <c r="K316" s="238">
        <f t="shared" si="45"/>
        <v>293090</v>
      </c>
      <c r="L316" s="238">
        <f t="shared" si="45"/>
        <v>1051480.77</v>
      </c>
      <c r="M316" s="238">
        <f t="shared" si="45"/>
        <v>385206.23000000004</v>
      </c>
    </row>
    <row r="317" spans="1:13" s="45" customFormat="1" ht="25.5" customHeight="1">
      <c r="A317" s="16" t="s">
        <v>299</v>
      </c>
      <c r="B317" s="44" t="s">
        <v>300</v>
      </c>
      <c r="C317" s="44" t="s">
        <v>301</v>
      </c>
      <c r="D317" s="44" t="s">
        <v>302</v>
      </c>
      <c r="E317" s="44" t="s">
        <v>2</v>
      </c>
      <c r="F317" s="44"/>
      <c r="G317" s="236">
        <f t="shared" si="38"/>
        <v>1172387</v>
      </c>
      <c r="H317" s="241">
        <f aca="true" t="shared" si="46" ref="H317:M317">H318+H319</f>
        <v>293099</v>
      </c>
      <c r="I317" s="241">
        <f t="shared" si="46"/>
        <v>293099</v>
      </c>
      <c r="J317" s="241">
        <f t="shared" si="46"/>
        <v>293099</v>
      </c>
      <c r="K317" s="241">
        <f t="shared" si="46"/>
        <v>293090</v>
      </c>
      <c r="L317" s="214">
        <f>'ИСПОЛНЕНИЕ 1 КВ.'!H317+'ИСПОЛНЕНИЕ 2 КВ. '!I320</f>
        <v>1051480.77</v>
      </c>
      <c r="M317" s="241">
        <f t="shared" si="46"/>
        <v>385206.23000000004</v>
      </c>
    </row>
    <row r="318" spans="1:13" s="45" customFormat="1" ht="12" customHeight="1">
      <c r="A318" s="19" t="s">
        <v>6</v>
      </c>
      <c r="B318" s="20" t="s">
        <v>300</v>
      </c>
      <c r="C318" s="20" t="s">
        <v>301</v>
      </c>
      <c r="D318" s="20" t="s">
        <v>302</v>
      </c>
      <c r="E318" s="20" t="s">
        <v>7</v>
      </c>
      <c r="F318" s="20" t="s">
        <v>395</v>
      </c>
      <c r="G318" s="236">
        <f t="shared" si="38"/>
        <v>929000</v>
      </c>
      <c r="H318" s="242">
        <v>232250</v>
      </c>
      <c r="I318" s="242">
        <v>232250</v>
      </c>
      <c r="J318" s="242">
        <v>232250</v>
      </c>
      <c r="K318" s="242">
        <v>232250</v>
      </c>
      <c r="L318" s="214">
        <f>'ИСПОЛНЕНИЕ 1 КВ.'!H318+'ИСПОЛНЕНИЕ 2 КВ. '!I321</f>
        <v>623757.34</v>
      </c>
      <c r="M318" s="239">
        <f>G318-L318</f>
        <v>305242.66000000003</v>
      </c>
    </row>
    <row r="319" spans="1:13" s="45" customFormat="1" ht="17.25" customHeight="1">
      <c r="A319" s="19" t="s">
        <v>13</v>
      </c>
      <c r="B319" s="20" t="s">
        <v>300</v>
      </c>
      <c r="C319" s="20" t="s">
        <v>301</v>
      </c>
      <c r="D319" s="20" t="s">
        <v>302</v>
      </c>
      <c r="E319" s="20" t="s">
        <v>14</v>
      </c>
      <c r="F319" s="20" t="s">
        <v>395</v>
      </c>
      <c r="G319" s="236">
        <f t="shared" si="38"/>
        <v>243387</v>
      </c>
      <c r="H319" s="242">
        <v>60849</v>
      </c>
      <c r="I319" s="242">
        <v>60849</v>
      </c>
      <c r="J319" s="242">
        <v>60849</v>
      </c>
      <c r="K319" s="242">
        <v>60840</v>
      </c>
      <c r="L319" s="214">
        <f>'ИСПОЛНЕНИЕ 1 КВ.'!H319+'ИСПОЛНЕНИЕ 2 КВ. '!I322</f>
        <v>163423.43</v>
      </c>
      <c r="M319" s="239">
        <f>G319-L319</f>
        <v>79963.57</v>
      </c>
    </row>
    <row r="320" spans="1:13" s="45" customFormat="1" ht="24.75" customHeight="1">
      <c r="A320" s="47" t="s">
        <v>250</v>
      </c>
      <c r="B320" s="82" t="s">
        <v>252</v>
      </c>
      <c r="C320" s="82" t="s">
        <v>88</v>
      </c>
      <c r="D320" s="82"/>
      <c r="E320" s="82"/>
      <c r="F320" s="82"/>
      <c r="G320" s="238">
        <f t="shared" si="38"/>
        <v>795850</v>
      </c>
      <c r="H320" s="238">
        <f>H321</f>
        <v>191465</v>
      </c>
      <c r="I320" s="238">
        <f>+I321</f>
        <v>226465</v>
      </c>
      <c r="J320" s="238">
        <f>J321</f>
        <v>216460</v>
      </c>
      <c r="K320" s="238">
        <f>K321</f>
        <v>161460</v>
      </c>
      <c r="L320" s="238">
        <f>L321</f>
        <v>2831.3</v>
      </c>
      <c r="M320" s="238">
        <f>M321</f>
        <v>795850</v>
      </c>
    </row>
    <row r="321" spans="1:13" s="45" customFormat="1" ht="39.75" customHeight="1">
      <c r="A321" s="10" t="s">
        <v>260</v>
      </c>
      <c r="B321" s="44" t="s">
        <v>150</v>
      </c>
      <c r="C321" s="44" t="s">
        <v>113</v>
      </c>
      <c r="D321" s="44" t="s">
        <v>2</v>
      </c>
      <c r="E321" s="44"/>
      <c r="F321" s="44"/>
      <c r="G321" s="245">
        <f t="shared" si="38"/>
        <v>795850</v>
      </c>
      <c r="H321" s="243">
        <f>H322</f>
        <v>191465</v>
      </c>
      <c r="I321" s="243">
        <f aca="true" t="shared" si="47" ref="I321:M324">I322</f>
        <v>226465</v>
      </c>
      <c r="J321" s="243">
        <f t="shared" si="47"/>
        <v>216460</v>
      </c>
      <c r="K321" s="243">
        <f t="shared" si="47"/>
        <v>161460</v>
      </c>
      <c r="L321" s="243">
        <f t="shared" si="47"/>
        <v>2831.3</v>
      </c>
      <c r="M321" s="243">
        <f t="shared" si="47"/>
        <v>795850</v>
      </c>
    </row>
    <row r="322" spans="1:13" s="68" customFormat="1" ht="57.75" customHeight="1">
      <c r="A322" s="149" t="s">
        <v>114</v>
      </c>
      <c r="B322" s="70" t="s">
        <v>150</v>
      </c>
      <c r="C322" s="88" t="s">
        <v>113</v>
      </c>
      <c r="D322" s="88" t="s">
        <v>255</v>
      </c>
      <c r="E322" s="88" t="s">
        <v>2</v>
      </c>
      <c r="F322" s="88"/>
      <c r="G322" s="246">
        <f t="shared" si="38"/>
        <v>795850</v>
      </c>
      <c r="H322" s="247">
        <f>H323</f>
        <v>191465</v>
      </c>
      <c r="I322" s="247">
        <f t="shared" si="47"/>
        <v>226465</v>
      </c>
      <c r="J322" s="247">
        <f t="shared" si="47"/>
        <v>216460</v>
      </c>
      <c r="K322" s="247">
        <f t="shared" si="47"/>
        <v>161460</v>
      </c>
      <c r="L322" s="247">
        <f t="shared" si="47"/>
        <v>2831.3</v>
      </c>
      <c r="M322" s="247">
        <f t="shared" si="47"/>
        <v>795850</v>
      </c>
    </row>
    <row r="323" spans="1:13" s="68" customFormat="1" ht="13.5" customHeight="1">
      <c r="A323" s="152" t="s">
        <v>15</v>
      </c>
      <c r="B323" s="153" t="s">
        <v>150</v>
      </c>
      <c r="C323" s="153" t="s">
        <v>113</v>
      </c>
      <c r="D323" s="153" t="s">
        <v>255</v>
      </c>
      <c r="E323" s="153" t="s">
        <v>16</v>
      </c>
      <c r="F323" s="156"/>
      <c r="G323" s="248">
        <f t="shared" si="38"/>
        <v>795850</v>
      </c>
      <c r="H323" s="248">
        <f>H324</f>
        <v>191465</v>
      </c>
      <c r="I323" s="248">
        <f t="shared" si="47"/>
        <v>226465</v>
      </c>
      <c r="J323" s="248">
        <f t="shared" si="47"/>
        <v>216460</v>
      </c>
      <c r="K323" s="248">
        <f t="shared" si="47"/>
        <v>161460</v>
      </c>
      <c r="L323" s="214">
        <f>'ИСПОЛНЕНИЕ 1 КВ.'!H323+'ИСПОЛНЕНИЕ 2 КВ. '!I331</f>
        <v>2831.3</v>
      </c>
      <c r="M323" s="248">
        <f t="shared" si="47"/>
        <v>795850</v>
      </c>
    </row>
    <row r="324" spans="1:13" s="68" customFormat="1" ht="14.25" customHeight="1">
      <c r="A324" s="154" t="s">
        <v>37</v>
      </c>
      <c r="B324" s="153" t="s">
        <v>150</v>
      </c>
      <c r="C324" s="153" t="s">
        <v>113</v>
      </c>
      <c r="D324" s="153" t="s">
        <v>255</v>
      </c>
      <c r="E324" s="153" t="s">
        <v>38</v>
      </c>
      <c r="F324" s="150"/>
      <c r="G324" s="248">
        <f t="shared" si="38"/>
        <v>795850</v>
      </c>
      <c r="H324" s="248">
        <f>H325</f>
        <v>191465</v>
      </c>
      <c r="I324" s="248">
        <f t="shared" si="47"/>
        <v>226465</v>
      </c>
      <c r="J324" s="248">
        <f t="shared" si="47"/>
        <v>216460</v>
      </c>
      <c r="K324" s="248">
        <f t="shared" si="47"/>
        <v>161460</v>
      </c>
      <c r="L324" s="214">
        <f>'ИСПОЛНЕНИЕ 1 КВ.'!H324+'ИСПОЛНЕНИЕ 2 КВ. '!I332</f>
        <v>2831.3</v>
      </c>
      <c r="M324" s="248">
        <f t="shared" si="47"/>
        <v>795850</v>
      </c>
    </row>
    <row r="325" spans="1:13" s="21" customFormat="1" ht="24.75" customHeight="1">
      <c r="A325" s="12" t="s">
        <v>407</v>
      </c>
      <c r="B325" s="20"/>
      <c r="C325" s="20"/>
      <c r="D325" s="20"/>
      <c r="E325" s="20"/>
      <c r="F325" s="153" t="s">
        <v>382</v>
      </c>
      <c r="G325" s="236">
        <f t="shared" si="38"/>
        <v>795850</v>
      </c>
      <c r="H325" s="236">
        <f>111465+80000</f>
        <v>191465</v>
      </c>
      <c r="I325" s="236">
        <f>111465+115000</f>
        <v>226465</v>
      </c>
      <c r="J325" s="236">
        <f>111460+105000</f>
        <v>216460</v>
      </c>
      <c r="K325" s="236">
        <f>111460+50000</f>
        <v>161460</v>
      </c>
      <c r="L325" s="214">
        <f>'ИСПОЛНЕНИЕ 1 КВ.'!H325+'ИСПОЛНЕНИЕ 2 КВ. '!I333</f>
        <v>0</v>
      </c>
      <c r="M325" s="236">
        <f>G325-L325</f>
        <v>795850</v>
      </c>
    </row>
    <row r="326" spans="1:13" s="21" customFormat="1" ht="25.5" customHeight="1">
      <c r="A326" s="168" t="s">
        <v>304</v>
      </c>
      <c r="B326" s="14"/>
      <c r="C326" s="14"/>
      <c r="D326" s="14"/>
      <c r="E326" s="14"/>
      <c r="F326" s="14"/>
      <c r="G326" s="249">
        <f t="shared" si="38"/>
        <v>350000</v>
      </c>
      <c r="H326" s="249">
        <v>80000</v>
      </c>
      <c r="I326" s="249">
        <v>115000</v>
      </c>
      <c r="J326" s="249">
        <v>105000</v>
      </c>
      <c r="K326" s="249">
        <v>50000</v>
      </c>
      <c r="L326" s="214">
        <f>'ИСПОЛНЕНИЕ 1 КВ.'!H326+'ИСПОЛНЕНИЕ 2 КВ. '!I334</f>
        <v>2831.3</v>
      </c>
      <c r="M326" s="236">
        <f>G326-L326</f>
        <v>347168.7</v>
      </c>
    </row>
    <row r="327" spans="1:13" s="15" customFormat="1" ht="14.25" customHeight="1">
      <c r="A327" s="47" t="s">
        <v>62</v>
      </c>
      <c r="B327" s="48" t="s">
        <v>151</v>
      </c>
      <c r="C327" s="48" t="s">
        <v>88</v>
      </c>
      <c r="D327" s="48" t="s">
        <v>2</v>
      </c>
      <c r="E327" s="48"/>
      <c r="F327" s="48"/>
      <c r="G327" s="238">
        <f t="shared" si="38"/>
        <v>219680</v>
      </c>
      <c r="H327" s="238">
        <f aca="true" t="shared" si="48" ref="H327:M327">H328</f>
        <v>54920</v>
      </c>
      <c r="I327" s="238">
        <f t="shared" si="48"/>
        <v>54920</v>
      </c>
      <c r="J327" s="238">
        <f t="shared" si="48"/>
        <v>54920</v>
      </c>
      <c r="K327" s="238">
        <f t="shared" si="48"/>
        <v>54920</v>
      </c>
      <c r="L327" s="238">
        <f t="shared" si="48"/>
        <v>564028.92</v>
      </c>
      <c r="M327" s="238">
        <f t="shared" si="48"/>
        <v>179780.48</v>
      </c>
    </row>
    <row r="328" spans="1:13" s="45" customFormat="1" ht="25.5" customHeight="1">
      <c r="A328" s="43" t="s">
        <v>63</v>
      </c>
      <c r="B328" s="44" t="s">
        <v>152</v>
      </c>
      <c r="C328" s="44" t="s">
        <v>88</v>
      </c>
      <c r="D328" s="44" t="s">
        <v>2</v>
      </c>
      <c r="E328" s="44"/>
      <c r="F328" s="44"/>
      <c r="G328" s="235">
        <f t="shared" si="38"/>
        <v>219680</v>
      </c>
      <c r="H328" s="239">
        <f aca="true" t="shared" si="49" ref="H328:M328">SUM(,H331)</f>
        <v>54920</v>
      </c>
      <c r="I328" s="239">
        <f t="shared" si="49"/>
        <v>54920</v>
      </c>
      <c r="J328" s="239">
        <f t="shared" si="49"/>
        <v>54920</v>
      </c>
      <c r="K328" s="239">
        <f t="shared" si="49"/>
        <v>54920</v>
      </c>
      <c r="L328" s="214">
        <f>'ИСПОЛНЕНИЕ 1 КВ.'!H328+'ИСПОЛНЕНИЕ 2 КВ. '!I336</f>
        <v>564028.92</v>
      </c>
      <c r="M328" s="239">
        <f t="shared" si="49"/>
        <v>179780.48</v>
      </c>
    </row>
    <row r="329" spans="1:13" s="45" customFormat="1" ht="26.25" customHeight="1">
      <c r="A329" s="43" t="s">
        <v>117</v>
      </c>
      <c r="B329" s="44" t="s">
        <v>152</v>
      </c>
      <c r="C329" s="44" t="s">
        <v>118</v>
      </c>
      <c r="D329" s="44" t="s">
        <v>119</v>
      </c>
      <c r="E329" s="44"/>
      <c r="F329" s="44"/>
      <c r="G329" s="235">
        <f t="shared" si="38"/>
        <v>219680</v>
      </c>
      <c r="H329" s="239">
        <f aca="true" t="shared" si="50" ref="H329:M329">H330</f>
        <v>54920</v>
      </c>
      <c r="I329" s="239">
        <f t="shared" si="50"/>
        <v>54920</v>
      </c>
      <c r="J329" s="239">
        <f t="shared" si="50"/>
        <v>54920</v>
      </c>
      <c r="K329" s="239">
        <f t="shared" si="50"/>
        <v>54920</v>
      </c>
      <c r="L329" s="214">
        <f>'ИСПОЛНЕНИЕ 1 КВ.'!H329+'ИСПОЛНЕНИЕ 2 КВ. '!I337</f>
        <v>533533.5</v>
      </c>
      <c r="M329" s="239">
        <f t="shared" si="50"/>
        <v>179780.48</v>
      </c>
    </row>
    <row r="330" spans="1:13" s="45" customFormat="1" ht="14.25" customHeight="1">
      <c r="A330" s="43" t="s">
        <v>120</v>
      </c>
      <c r="B330" s="44" t="s">
        <v>152</v>
      </c>
      <c r="C330" s="44" t="s">
        <v>118</v>
      </c>
      <c r="D330" s="44" t="s">
        <v>119</v>
      </c>
      <c r="E330" s="44" t="s">
        <v>2</v>
      </c>
      <c r="F330" s="44"/>
      <c r="G330" s="235">
        <f t="shared" si="38"/>
        <v>219680</v>
      </c>
      <c r="H330" s="239">
        <f aca="true" t="shared" si="51" ref="H330:M330">SUM(H332:H337)</f>
        <v>54920</v>
      </c>
      <c r="I330" s="239">
        <f t="shared" si="51"/>
        <v>54920</v>
      </c>
      <c r="J330" s="239">
        <f t="shared" si="51"/>
        <v>54920</v>
      </c>
      <c r="K330" s="239">
        <f t="shared" si="51"/>
        <v>54920</v>
      </c>
      <c r="L330" s="214">
        <f>'ИСПОЛНЕНИЕ 1 КВ.'!H330+'ИСПОЛНЕНИЕ 2 КВ. '!I339</f>
        <v>39899.52</v>
      </c>
      <c r="M330" s="239">
        <f t="shared" si="51"/>
        <v>179780.48</v>
      </c>
    </row>
    <row r="331" spans="1:13" s="15" customFormat="1" ht="16.5" customHeight="1">
      <c r="A331" s="10" t="s">
        <v>4</v>
      </c>
      <c r="B331" s="14" t="s">
        <v>152</v>
      </c>
      <c r="C331" s="14" t="s">
        <v>201</v>
      </c>
      <c r="D331" s="14" t="s">
        <v>119</v>
      </c>
      <c r="E331" s="14" t="s">
        <v>5</v>
      </c>
      <c r="F331" s="14"/>
      <c r="G331" s="235">
        <f t="shared" si="38"/>
        <v>219680</v>
      </c>
      <c r="H331" s="235">
        <f aca="true" t="shared" si="52" ref="H331:M331">SUM(H332,H333,H337)</f>
        <v>54920</v>
      </c>
      <c r="I331" s="235">
        <f t="shared" si="52"/>
        <v>54920</v>
      </c>
      <c r="J331" s="235">
        <f t="shared" si="52"/>
        <v>54920</v>
      </c>
      <c r="K331" s="235">
        <f t="shared" si="52"/>
        <v>54920</v>
      </c>
      <c r="L331" s="214">
        <f>'ИСПОЛНЕНИЕ 1 КВ.'!H331+'ИСПОЛНЕНИЕ 2 КВ. '!I340</f>
        <v>39899.52</v>
      </c>
      <c r="M331" s="235">
        <f t="shared" si="52"/>
        <v>179780.48</v>
      </c>
    </row>
    <row r="332" spans="1:13" s="18" customFormat="1" ht="15.75" customHeight="1">
      <c r="A332" s="16" t="s">
        <v>6</v>
      </c>
      <c r="B332" s="27" t="s">
        <v>152</v>
      </c>
      <c r="C332" s="27" t="s">
        <v>201</v>
      </c>
      <c r="D332" s="27" t="s">
        <v>119</v>
      </c>
      <c r="E332" s="17" t="s">
        <v>7</v>
      </c>
      <c r="F332" s="17" t="s">
        <v>369</v>
      </c>
      <c r="G332" s="240">
        <f t="shared" si="38"/>
        <v>174072</v>
      </c>
      <c r="H332" s="240">
        <v>43518</v>
      </c>
      <c r="I332" s="240">
        <v>43518</v>
      </c>
      <c r="J332" s="240">
        <v>43518</v>
      </c>
      <c r="K332" s="240">
        <v>43518</v>
      </c>
      <c r="L332" s="214">
        <f>'ИСПОЛНЕНИЕ 1 КВ.'!H332+'ИСПОЛНЕНИЕ 2 КВ. '!I341</f>
        <v>15382.84</v>
      </c>
      <c r="M332" s="240">
        <f aca="true" t="shared" si="53" ref="M332:M337">G332-L332</f>
        <v>158689.16</v>
      </c>
    </row>
    <row r="333" spans="1:13" s="18" customFormat="1" ht="22.5" customHeight="1" hidden="1">
      <c r="A333" s="16" t="s">
        <v>8</v>
      </c>
      <c r="B333" s="27" t="s">
        <v>152</v>
      </c>
      <c r="C333" s="27" t="s">
        <v>201</v>
      </c>
      <c r="D333" s="27" t="s">
        <v>119</v>
      </c>
      <c r="E333" s="17" t="s">
        <v>9</v>
      </c>
      <c r="F333" s="17"/>
      <c r="G333" s="240">
        <f t="shared" si="38"/>
        <v>0</v>
      </c>
      <c r="H333" s="240"/>
      <c r="I333" s="240"/>
      <c r="J333" s="240"/>
      <c r="K333" s="240"/>
      <c r="L333" s="214">
        <f>'ИСПОЛНЕНИЕ 1 КВ.'!H333+'ИСПОЛНЕНИЕ 2 КВ. '!I342</f>
        <v>0</v>
      </c>
      <c r="M333" s="240">
        <f t="shared" si="53"/>
        <v>0</v>
      </c>
    </row>
    <row r="334" spans="1:13" ht="1.5" customHeight="1" hidden="1">
      <c r="A334" s="11" t="s">
        <v>10</v>
      </c>
      <c r="B334" s="4"/>
      <c r="C334" s="4"/>
      <c r="D334" s="4"/>
      <c r="E334" s="4"/>
      <c r="F334" s="4"/>
      <c r="G334" s="240">
        <f t="shared" si="38"/>
        <v>0</v>
      </c>
      <c r="H334" s="250"/>
      <c r="I334" s="250"/>
      <c r="J334" s="250"/>
      <c r="K334" s="250"/>
      <c r="L334" s="214">
        <f>'ИСПОЛНЕНИЕ 1 КВ.'!H334+'ИСПОЛНЕНИЕ 2 КВ. '!I343</f>
        <v>0</v>
      </c>
      <c r="M334" s="240">
        <f t="shared" si="53"/>
        <v>0</v>
      </c>
    </row>
    <row r="335" spans="1:13" ht="21" customHeight="1" hidden="1">
      <c r="A335" s="12" t="s">
        <v>11</v>
      </c>
      <c r="B335" s="4"/>
      <c r="C335" s="4"/>
      <c r="D335" s="4"/>
      <c r="E335" s="4"/>
      <c r="F335" s="4"/>
      <c r="G335" s="240">
        <f t="shared" si="38"/>
        <v>0</v>
      </c>
      <c r="H335" s="250"/>
      <c r="I335" s="250"/>
      <c r="J335" s="250"/>
      <c r="K335" s="250"/>
      <c r="L335" s="214">
        <f>'ИСПОЛНЕНИЕ 1 КВ.'!H335+'ИСПОЛНЕНИЕ 2 КВ. '!I344</f>
        <v>0</v>
      </c>
      <c r="M335" s="240">
        <f t="shared" si="53"/>
        <v>0</v>
      </c>
    </row>
    <row r="336" spans="1:13" ht="24" customHeight="1" hidden="1">
      <c r="A336" s="6" t="s">
        <v>12</v>
      </c>
      <c r="B336" s="4"/>
      <c r="C336" s="4"/>
      <c r="D336" s="4"/>
      <c r="E336" s="4"/>
      <c r="F336" s="4" t="s">
        <v>184</v>
      </c>
      <c r="G336" s="240">
        <f t="shared" si="38"/>
        <v>0</v>
      </c>
      <c r="H336" s="250"/>
      <c r="I336" s="250"/>
      <c r="J336" s="250"/>
      <c r="K336" s="250"/>
      <c r="L336" s="214">
        <f>'ИСПОЛНЕНИЕ 1 КВ.'!H336+'ИСПОЛНЕНИЕ 2 КВ. '!I345</f>
        <v>0</v>
      </c>
      <c r="M336" s="240">
        <f t="shared" si="53"/>
        <v>0</v>
      </c>
    </row>
    <row r="337" spans="1:13" s="18" customFormat="1" ht="15" customHeight="1">
      <c r="A337" s="16" t="s">
        <v>13</v>
      </c>
      <c r="B337" s="27" t="s">
        <v>152</v>
      </c>
      <c r="C337" s="27" t="s">
        <v>201</v>
      </c>
      <c r="D337" s="27" t="s">
        <v>119</v>
      </c>
      <c r="E337" s="17" t="s">
        <v>14</v>
      </c>
      <c r="F337" s="17" t="s">
        <v>369</v>
      </c>
      <c r="G337" s="240">
        <f t="shared" si="38"/>
        <v>45608</v>
      </c>
      <c r="H337" s="240">
        <v>11402</v>
      </c>
      <c r="I337" s="240">
        <v>11402</v>
      </c>
      <c r="J337" s="240">
        <v>11402</v>
      </c>
      <c r="K337" s="240">
        <v>11402</v>
      </c>
      <c r="L337" s="214">
        <f>'ИСПОЛНЕНИЕ 1 КВ.'!H337+'ИСПОЛНЕНИЕ 2 КВ. '!I346</f>
        <v>24516.68</v>
      </c>
      <c r="M337" s="240">
        <f t="shared" si="53"/>
        <v>21091.32</v>
      </c>
    </row>
    <row r="338" spans="1:13" s="18" customFormat="1" ht="27.75" customHeight="1" hidden="1">
      <c r="A338" s="10" t="s">
        <v>15</v>
      </c>
      <c r="B338" s="44" t="s">
        <v>152</v>
      </c>
      <c r="C338" s="44" t="s">
        <v>201</v>
      </c>
      <c r="D338" s="44" t="s">
        <v>119</v>
      </c>
      <c r="E338" s="14" t="s">
        <v>16</v>
      </c>
      <c r="F338" s="14"/>
      <c r="G338" s="240"/>
      <c r="H338" s="240"/>
      <c r="I338" s="240"/>
      <c r="J338" s="240"/>
      <c r="K338" s="240"/>
      <c r="L338" s="214">
        <f>'ИСПОЛНЕНИЕ 1 КВ.'!H338+'ИСПОЛНЕНИЕ 2 КВ. '!I347</f>
        <v>0</v>
      </c>
      <c r="M338" s="240"/>
    </row>
    <row r="339" spans="1:13" s="18" customFormat="1" ht="21" customHeight="1" hidden="1">
      <c r="A339" s="16" t="s">
        <v>17</v>
      </c>
      <c r="B339" s="27" t="s">
        <v>152</v>
      </c>
      <c r="C339" s="27" t="s">
        <v>201</v>
      </c>
      <c r="D339" s="27" t="s">
        <v>119</v>
      </c>
      <c r="E339" s="17" t="s">
        <v>18</v>
      </c>
      <c r="F339" s="17"/>
      <c r="G339" s="240"/>
      <c r="H339" s="240"/>
      <c r="I339" s="240"/>
      <c r="J339" s="240"/>
      <c r="K339" s="240"/>
      <c r="L339" s="214">
        <f>'ИСПОЛНЕНИЕ 1 КВ.'!H339+'ИСПОЛНЕНИЕ 2 КВ. '!I348</f>
        <v>0</v>
      </c>
      <c r="M339" s="240"/>
    </row>
    <row r="340" spans="1:13" s="18" customFormat="1" ht="28.5" customHeight="1" hidden="1">
      <c r="A340" s="16" t="s">
        <v>21</v>
      </c>
      <c r="B340" s="27" t="s">
        <v>152</v>
      </c>
      <c r="C340" s="27" t="s">
        <v>201</v>
      </c>
      <c r="D340" s="27" t="s">
        <v>119</v>
      </c>
      <c r="E340" s="17" t="s">
        <v>19</v>
      </c>
      <c r="F340" s="17"/>
      <c r="G340" s="240"/>
      <c r="H340" s="240"/>
      <c r="I340" s="240"/>
      <c r="J340" s="240"/>
      <c r="K340" s="240"/>
      <c r="L340" s="214">
        <f>'ИСПОЛНЕНИЕ 1 КВ.'!H340+'ИСПОЛНЕНИЕ 2 КВ. '!I349</f>
        <v>0</v>
      </c>
      <c r="M340" s="240"/>
    </row>
    <row r="341" spans="1:13" s="18" customFormat="1" ht="30" customHeight="1" hidden="1">
      <c r="A341" s="11" t="s">
        <v>20</v>
      </c>
      <c r="B341" s="4"/>
      <c r="C341" s="4"/>
      <c r="D341" s="4"/>
      <c r="E341" s="4"/>
      <c r="F341" s="4" t="s">
        <v>183</v>
      </c>
      <c r="G341" s="240"/>
      <c r="H341" s="240"/>
      <c r="I341" s="240"/>
      <c r="J341" s="240"/>
      <c r="K341" s="240"/>
      <c r="L341" s="214">
        <f>'ИСПОЛНЕНИЕ 1 КВ.'!H341+'ИСПОЛНЕНИЕ 2 КВ. '!I350</f>
        <v>0</v>
      </c>
      <c r="M341" s="240"/>
    </row>
    <row r="342" spans="1:13" s="21" customFormat="1" ht="12.75" hidden="1">
      <c r="A342" s="19"/>
      <c r="B342" s="20"/>
      <c r="C342" s="20"/>
      <c r="D342" s="20"/>
      <c r="E342" s="20"/>
      <c r="F342" s="20"/>
      <c r="G342" s="236"/>
      <c r="H342" s="236"/>
      <c r="I342" s="236"/>
      <c r="J342" s="236"/>
      <c r="K342" s="236"/>
      <c r="L342" s="214">
        <f>'ИСПОЛНЕНИЕ 1 КВ.'!H342+'ИСПОЛНЕНИЕ 2 КВ. '!I351</f>
        <v>0</v>
      </c>
      <c r="M342" s="236"/>
    </row>
    <row r="343" spans="1:13" s="15" customFormat="1" ht="12.75">
      <c r="A343" s="159" t="s">
        <v>64</v>
      </c>
      <c r="B343" s="48" t="s">
        <v>153</v>
      </c>
      <c r="C343" s="48" t="s">
        <v>88</v>
      </c>
      <c r="D343" s="48" t="s">
        <v>2</v>
      </c>
      <c r="E343" s="48"/>
      <c r="F343" s="48"/>
      <c r="G343" s="238">
        <f>H343+I343+J343+K343</f>
        <v>8842195.36</v>
      </c>
      <c r="H343" s="238">
        <f aca="true" t="shared" si="54" ref="H343:M343">H356+H357+H358</f>
        <v>392610.53</v>
      </c>
      <c r="I343" s="238">
        <f t="shared" si="54"/>
        <v>2476728.23</v>
      </c>
      <c r="J343" s="238">
        <f t="shared" si="54"/>
        <v>4284000.8</v>
      </c>
      <c r="K343" s="238">
        <f t="shared" si="54"/>
        <v>1688855.7999999998</v>
      </c>
      <c r="L343" s="238">
        <f t="shared" si="54"/>
        <v>323932.38</v>
      </c>
      <c r="M343" s="238">
        <f t="shared" si="54"/>
        <v>8517933.98</v>
      </c>
    </row>
    <row r="344" spans="1:13" s="45" customFormat="1" ht="12.75" hidden="1">
      <c r="A344" s="43" t="s">
        <v>65</v>
      </c>
      <c r="B344" s="44" t="s">
        <v>154</v>
      </c>
      <c r="C344" s="44" t="s">
        <v>88</v>
      </c>
      <c r="D344" s="44" t="s">
        <v>2</v>
      </c>
      <c r="E344" s="44"/>
      <c r="F344" s="44"/>
      <c r="G344" s="239">
        <f>SUM(H344:H344)</f>
        <v>0</v>
      </c>
      <c r="H344" s="239">
        <f>SUM(H348:H354)</f>
        <v>0</v>
      </c>
      <c r="I344" s="239"/>
      <c r="J344" s="239"/>
      <c r="K344" s="239"/>
      <c r="L344" s="214">
        <f>'ИСПОЛНЕНИЕ 1 КВ.'!H344+'ИСПОЛНЕНИЕ 2 КВ. '!I353</f>
        <v>0</v>
      </c>
      <c r="M344" s="239"/>
    </row>
    <row r="345" spans="1:13" s="68" customFormat="1" ht="12.75" hidden="1">
      <c r="A345" s="66" t="s">
        <v>121</v>
      </c>
      <c r="B345" s="50" t="s">
        <v>154</v>
      </c>
      <c r="C345" s="50" t="s">
        <v>122</v>
      </c>
      <c r="D345" s="50" t="s">
        <v>2</v>
      </c>
      <c r="E345" s="50"/>
      <c r="F345" s="50"/>
      <c r="G345" s="247"/>
      <c r="H345" s="247"/>
      <c r="I345" s="247"/>
      <c r="J345" s="247"/>
      <c r="K345" s="247"/>
      <c r="L345" s="214">
        <f>'ИСПОЛНЕНИЕ 1 КВ.'!H345+'ИСПОЛНЕНИЕ 2 КВ. '!I354</f>
        <v>0</v>
      </c>
      <c r="M345" s="247"/>
    </row>
    <row r="346" spans="1:13" s="45" customFormat="1" ht="12.75" hidden="1">
      <c r="A346" s="43" t="s">
        <v>217</v>
      </c>
      <c r="B346" s="44" t="s">
        <v>154</v>
      </c>
      <c r="C346" s="44" t="s">
        <v>122</v>
      </c>
      <c r="D346" s="44" t="s">
        <v>123</v>
      </c>
      <c r="E346" s="44"/>
      <c r="F346" s="44"/>
      <c r="G346" s="239"/>
      <c r="H346" s="239"/>
      <c r="I346" s="239"/>
      <c r="J346" s="239"/>
      <c r="K346" s="239"/>
      <c r="L346" s="214">
        <f>'ИСПОЛНЕНИЕ 1 КВ.'!H346+'ИСПОЛНЕНИЕ 2 КВ. '!I355</f>
        <v>0</v>
      </c>
      <c r="M346" s="239"/>
    </row>
    <row r="347" spans="1:13" s="45" customFormat="1" ht="25.5" hidden="1">
      <c r="A347" s="43" t="s">
        <v>213</v>
      </c>
      <c r="B347" s="44" t="s">
        <v>154</v>
      </c>
      <c r="C347" s="44" t="s">
        <v>122</v>
      </c>
      <c r="D347" s="44" t="s">
        <v>123</v>
      </c>
      <c r="E347" s="44" t="s">
        <v>212</v>
      </c>
      <c r="F347" s="44"/>
      <c r="G347" s="239"/>
      <c r="H347" s="239"/>
      <c r="I347" s="239"/>
      <c r="J347" s="239"/>
      <c r="K347" s="239"/>
      <c r="L347" s="214">
        <f>'ИСПОЛНЕНИЕ 1 КВ.'!H347+'ИСПОЛНЕНИЕ 2 КВ. '!I356</f>
        <v>0</v>
      </c>
      <c r="M347" s="239"/>
    </row>
    <row r="348" spans="1:13" s="21" customFormat="1" ht="25.5" hidden="1">
      <c r="A348" s="19" t="s">
        <v>216</v>
      </c>
      <c r="B348" s="20" t="s">
        <v>154</v>
      </c>
      <c r="C348" s="20" t="s">
        <v>122</v>
      </c>
      <c r="D348" s="20" t="s">
        <v>123</v>
      </c>
      <c r="E348" s="20" t="s">
        <v>211</v>
      </c>
      <c r="F348" s="20"/>
      <c r="G348" s="236">
        <f>SUM(H348:H348)</f>
        <v>0</v>
      </c>
      <c r="H348" s="236"/>
      <c r="I348" s="236"/>
      <c r="J348" s="236"/>
      <c r="K348" s="236"/>
      <c r="L348" s="214">
        <f>'ИСПОЛНЕНИЕ 1 КВ.'!H348+'ИСПОЛНЕНИЕ 2 КВ. '!I357</f>
        <v>0</v>
      </c>
      <c r="M348" s="236"/>
    </row>
    <row r="349" spans="1:13" s="45" customFormat="1" ht="12.75" hidden="1">
      <c r="A349" s="43" t="s">
        <v>42</v>
      </c>
      <c r="B349" s="44" t="s">
        <v>154</v>
      </c>
      <c r="C349" s="44" t="s">
        <v>122</v>
      </c>
      <c r="D349" s="44" t="s">
        <v>123</v>
      </c>
      <c r="E349" s="44" t="s">
        <v>43</v>
      </c>
      <c r="F349" s="44"/>
      <c r="G349" s="239"/>
      <c r="H349" s="239"/>
      <c r="I349" s="239"/>
      <c r="J349" s="239"/>
      <c r="K349" s="239"/>
      <c r="L349" s="214">
        <f>'ИСПОЛНЕНИЕ 1 КВ.'!H349+'ИСПОЛНЕНИЕ 2 КВ. '!I358</f>
        <v>0</v>
      </c>
      <c r="M349" s="239"/>
    </row>
    <row r="350" spans="1:13" s="21" customFormat="1" ht="12.75" hidden="1">
      <c r="A350" s="19" t="s">
        <v>44</v>
      </c>
      <c r="B350" s="20" t="s">
        <v>154</v>
      </c>
      <c r="C350" s="20" t="s">
        <v>122</v>
      </c>
      <c r="D350" s="20" t="s">
        <v>123</v>
      </c>
      <c r="E350" s="20" t="s">
        <v>45</v>
      </c>
      <c r="F350" s="20"/>
      <c r="G350" s="236"/>
      <c r="H350" s="236"/>
      <c r="I350" s="236"/>
      <c r="J350" s="236"/>
      <c r="K350" s="236"/>
      <c r="L350" s="214">
        <f>'ИСПОЛНЕНИЕ 1 КВ.'!H350+'ИСПОЛНЕНИЕ 2 КВ. '!I359</f>
        <v>0</v>
      </c>
      <c r="M350" s="236"/>
    </row>
    <row r="351" spans="1:13" s="21" customFormat="1" ht="25.5" hidden="1">
      <c r="A351" s="19" t="s">
        <v>214</v>
      </c>
      <c r="B351" s="20"/>
      <c r="C351" s="20"/>
      <c r="D351" s="20"/>
      <c r="E351" s="20"/>
      <c r="F351" s="20" t="s">
        <v>210</v>
      </c>
      <c r="G351" s="236"/>
      <c r="H351" s="236"/>
      <c r="I351" s="236"/>
      <c r="J351" s="236"/>
      <c r="K351" s="236"/>
      <c r="L351" s="214">
        <f>'ИСПОЛНЕНИЕ 1 КВ.'!H351+'ИСПОЛНЕНИЕ 2 КВ. '!I360</f>
        <v>0</v>
      </c>
      <c r="M351" s="236"/>
    </row>
    <row r="352" spans="1:13" s="45" customFormat="1" ht="38.25" hidden="1">
      <c r="A352" s="43" t="s">
        <v>218</v>
      </c>
      <c r="B352" s="44" t="s">
        <v>154</v>
      </c>
      <c r="C352" s="44" t="s">
        <v>122</v>
      </c>
      <c r="D352" s="44" t="s">
        <v>215</v>
      </c>
      <c r="E352" s="44"/>
      <c r="F352" s="44"/>
      <c r="G352" s="239"/>
      <c r="H352" s="239"/>
      <c r="I352" s="239"/>
      <c r="J352" s="239"/>
      <c r="K352" s="239"/>
      <c r="L352" s="214">
        <f>'ИСПОЛНЕНИЕ 1 КВ.'!H352+'ИСПОЛНЕНИЕ 2 КВ. '!I361</f>
        <v>0</v>
      </c>
      <c r="M352" s="239"/>
    </row>
    <row r="353" spans="1:13" s="45" customFormat="1" ht="25.5" hidden="1">
      <c r="A353" s="43" t="s">
        <v>213</v>
      </c>
      <c r="B353" s="44" t="s">
        <v>154</v>
      </c>
      <c r="C353" s="44" t="s">
        <v>122</v>
      </c>
      <c r="D353" s="44" t="s">
        <v>215</v>
      </c>
      <c r="E353" s="44" t="s">
        <v>212</v>
      </c>
      <c r="F353" s="44"/>
      <c r="G353" s="239"/>
      <c r="H353" s="239"/>
      <c r="I353" s="239"/>
      <c r="J353" s="239"/>
      <c r="K353" s="239"/>
      <c r="L353" s="214">
        <f>'ИСПОЛНЕНИЕ 1 КВ.'!H353+'ИСПОЛНЕНИЕ 2 КВ. '!I362</f>
        <v>0</v>
      </c>
      <c r="M353" s="239"/>
    </row>
    <row r="354" spans="1:13" s="21" customFormat="1" ht="25.5" hidden="1">
      <c r="A354" s="19" t="s">
        <v>216</v>
      </c>
      <c r="B354" s="20" t="s">
        <v>154</v>
      </c>
      <c r="C354" s="20" t="s">
        <v>122</v>
      </c>
      <c r="D354" s="20" t="s">
        <v>215</v>
      </c>
      <c r="E354" s="20" t="s">
        <v>211</v>
      </c>
      <c r="F354" s="20"/>
      <c r="G354" s="236">
        <f>SUM(H354:H354)</f>
        <v>0</v>
      </c>
      <c r="H354" s="236"/>
      <c r="I354" s="236"/>
      <c r="J354" s="236"/>
      <c r="K354" s="236"/>
      <c r="L354" s="214">
        <f>'ИСПОЛНЕНИЕ 1 КВ.'!H354+'ИСПОЛНЕНИЕ 2 КВ. '!I363</f>
        <v>0</v>
      </c>
      <c r="M354" s="236"/>
    </row>
    <row r="355" spans="1:13" s="21" customFormat="1" ht="12.75" hidden="1">
      <c r="A355" s="19"/>
      <c r="B355" s="20"/>
      <c r="C355" s="20"/>
      <c r="D355" s="20"/>
      <c r="E355" s="20"/>
      <c r="F355" s="20"/>
      <c r="G355" s="236"/>
      <c r="H355" s="236"/>
      <c r="I355" s="236"/>
      <c r="J355" s="236"/>
      <c r="K355" s="236"/>
      <c r="L355" s="214">
        <f>'ИСПОЛНЕНИЕ 1 КВ.'!H355+'ИСПОЛНЕНИЕ 2 КВ. '!I364</f>
        <v>0</v>
      </c>
      <c r="M355" s="236"/>
    </row>
    <row r="356" spans="1:13" s="45" customFormat="1" ht="38.25">
      <c r="A356" s="16" t="s">
        <v>331</v>
      </c>
      <c r="B356" s="17" t="s">
        <v>154</v>
      </c>
      <c r="C356" s="17" t="s">
        <v>122</v>
      </c>
      <c r="D356" s="17" t="s">
        <v>123</v>
      </c>
      <c r="E356" s="29" t="s">
        <v>211</v>
      </c>
      <c r="F356" s="20" t="s">
        <v>401</v>
      </c>
      <c r="G356" s="260">
        <f aca="true" t="shared" si="55" ref="G356:G361">H356+I356+J356+K356</f>
        <v>674618.96</v>
      </c>
      <c r="H356" s="240">
        <v>254630.53</v>
      </c>
      <c r="I356" s="251">
        <v>110704.23</v>
      </c>
      <c r="J356" s="240">
        <v>72703.8</v>
      </c>
      <c r="K356" s="240">
        <v>236580.4</v>
      </c>
      <c r="L356" s="214">
        <f>'ИСПОЛНЕНИЕ 1 КВ.'!H356+'ИСПОЛНЕНИЕ 2 КВ. '!I365</f>
        <v>323932.38</v>
      </c>
      <c r="M356" s="239">
        <f>G356-L356</f>
        <v>350686.57999999996</v>
      </c>
    </row>
    <row r="357" spans="1:13" s="45" customFormat="1" ht="12.75">
      <c r="A357" s="16" t="s">
        <v>332</v>
      </c>
      <c r="B357" s="17" t="s">
        <v>154</v>
      </c>
      <c r="C357" s="17" t="s">
        <v>122</v>
      </c>
      <c r="D357" s="17" t="s">
        <v>215</v>
      </c>
      <c r="E357" s="29" t="s">
        <v>31</v>
      </c>
      <c r="F357" s="20" t="s">
        <v>402</v>
      </c>
      <c r="G357" s="240">
        <f t="shared" si="55"/>
        <v>12000</v>
      </c>
      <c r="H357" s="240">
        <v>0</v>
      </c>
      <c r="I357" s="236">
        <v>12000</v>
      </c>
      <c r="J357" s="240">
        <v>0</v>
      </c>
      <c r="K357" s="240">
        <v>0</v>
      </c>
      <c r="L357" s="214">
        <f>'ИСПОЛНЕНИЕ 1 КВ.'!H358+'ИСПОЛНЕНИЕ 2 КВ. '!I367</f>
        <v>0</v>
      </c>
      <c r="M357" s="239">
        <f>G357-L357</f>
        <v>12000</v>
      </c>
    </row>
    <row r="358" spans="1:13" s="45" customFormat="1" ht="12.75">
      <c r="A358" s="43" t="s">
        <v>219</v>
      </c>
      <c r="B358" s="44" t="s">
        <v>155</v>
      </c>
      <c r="C358" s="44" t="s">
        <v>220</v>
      </c>
      <c r="D358" s="44" t="s">
        <v>2</v>
      </c>
      <c r="E358" s="44"/>
      <c r="F358" s="44"/>
      <c r="G358" s="239">
        <f t="shared" si="55"/>
        <v>8155576.4</v>
      </c>
      <c r="H358" s="239">
        <f aca="true" t="shared" si="56" ref="H358:M358">H359</f>
        <v>137980</v>
      </c>
      <c r="I358" s="239">
        <f t="shared" si="56"/>
        <v>2354024</v>
      </c>
      <c r="J358" s="239">
        <f t="shared" si="56"/>
        <v>4211297</v>
      </c>
      <c r="K358" s="239">
        <f t="shared" si="56"/>
        <v>1452275.4</v>
      </c>
      <c r="L358" s="239">
        <f t="shared" si="56"/>
        <v>0</v>
      </c>
      <c r="M358" s="239">
        <f t="shared" si="56"/>
        <v>8155247.4</v>
      </c>
    </row>
    <row r="359" spans="1:13" s="45" customFormat="1" ht="25.5">
      <c r="A359" s="19" t="s">
        <v>261</v>
      </c>
      <c r="B359" s="20" t="s">
        <v>155</v>
      </c>
      <c r="C359" s="20" t="s">
        <v>220</v>
      </c>
      <c r="D359" s="20" t="s">
        <v>85</v>
      </c>
      <c r="E359" s="20" t="s">
        <v>31</v>
      </c>
      <c r="F359" s="20" t="s">
        <v>378</v>
      </c>
      <c r="G359" s="236">
        <f t="shared" si="55"/>
        <v>8155576.4</v>
      </c>
      <c r="H359" s="236">
        <f aca="true" t="shared" si="57" ref="H359:M359">H360+H361</f>
        <v>137980</v>
      </c>
      <c r="I359" s="236">
        <f t="shared" si="57"/>
        <v>2354024</v>
      </c>
      <c r="J359" s="236">
        <f t="shared" si="57"/>
        <v>4211297</v>
      </c>
      <c r="K359" s="236">
        <f t="shared" si="57"/>
        <v>1452275.4</v>
      </c>
      <c r="L359" s="214">
        <f>'ИСПОЛНЕНИЕ 1 КВ.'!H360+'ИСПОЛНЕНИЕ 2 КВ. '!I369</f>
        <v>0</v>
      </c>
      <c r="M359" s="236">
        <f t="shared" si="57"/>
        <v>8155247.4</v>
      </c>
    </row>
    <row r="360" spans="1:13" s="45" customFormat="1" ht="25.5">
      <c r="A360" s="19" t="s">
        <v>264</v>
      </c>
      <c r="B360" s="44"/>
      <c r="C360" s="44"/>
      <c r="D360" s="44"/>
      <c r="E360" s="44"/>
      <c r="F360" s="44"/>
      <c r="G360" s="236">
        <f t="shared" si="55"/>
        <v>2084000</v>
      </c>
      <c r="H360" s="236">
        <f>25000+25000+87980</f>
        <v>137980</v>
      </c>
      <c r="I360" s="236">
        <f>25000+91044+25000+87980+325000</f>
        <v>554024</v>
      </c>
      <c r="J360" s="236">
        <f>25000+91044+25000+325000+700000+87980-8</f>
        <v>1254016</v>
      </c>
      <c r="K360" s="236">
        <f>25000+25000+87980</f>
        <v>137980</v>
      </c>
      <c r="L360" s="214">
        <f>'ИСПОЛНЕНИЕ 1 КВ.'!H361+'ИСПОЛНЕНИЕ 2 КВ. '!I370</f>
        <v>0</v>
      </c>
      <c r="M360" s="239">
        <f>G360-L360</f>
        <v>2084000</v>
      </c>
    </row>
    <row r="361" spans="1:13" s="45" customFormat="1" ht="12.75">
      <c r="A361" s="19" t="s">
        <v>262</v>
      </c>
      <c r="B361" s="44"/>
      <c r="C361" s="44"/>
      <c r="D361" s="44"/>
      <c r="E361" s="44"/>
      <c r="F361" s="44"/>
      <c r="G361" s="236">
        <f t="shared" si="55"/>
        <v>6071576.4</v>
      </c>
      <c r="H361" s="236"/>
      <c r="I361" s="236">
        <v>1800000</v>
      </c>
      <c r="J361" s="236">
        <f>1197300+582690.5+598650+478640.5+200000-100000</f>
        <v>2957281</v>
      </c>
      <c r="K361" s="236">
        <f>1197400+116895.4</f>
        <v>1314295.4</v>
      </c>
      <c r="L361" s="214">
        <f>'ИСПОЛНЕНИЕ 1 КВ.'!H362+'ИСПОЛНЕНИЕ 2 КВ. '!I371</f>
        <v>329</v>
      </c>
      <c r="M361" s="239">
        <f>G361-L361</f>
        <v>6071247.4</v>
      </c>
    </row>
    <row r="362" spans="1:13" s="15" customFormat="1" ht="12.75" hidden="1">
      <c r="A362" s="23" t="s">
        <v>67</v>
      </c>
      <c r="B362" s="24" t="s">
        <v>156</v>
      </c>
      <c r="C362" s="24"/>
      <c r="D362" s="24"/>
      <c r="E362" s="24"/>
      <c r="F362" s="24"/>
      <c r="G362" s="252"/>
      <c r="H362" s="252"/>
      <c r="I362" s="235"/>
      <c r="J362" s="235"/>
      <c r="K362" s="235"/>
      <c r="L362" s="214">
        <f>'ИСПОЛНЕНИЕ 1 КВ.'!H363+'ИСПОЛНЕНИЕ 2 КВ. '!I372</f>
        <v>0</v>
      </c>
      <c r="M362" s="235"/>
    </row>
    <row r="363" spans="1:13" s="15" customFormat="1" ht="12.75" hidden="1">
      <c r="A363" s="23" t="s">
        <v>68</v>
      </c>
      <c r="B363" s="24" t="s">
        <v>157</v>
      </c>
      <c r="C363" s="24" t="s">
        <v>142</v>
      </c>
      <c r="D363" s="24" t="s">
        <v>69</v>
      </c>
      <c r="E363" s="24"/>
      <c r="F363" s="24"/>
      <c r="G363" s="253">
        <f>SUM(H363:H363)</f>
        <v>0</v>
      </c>
      <c r="H363" s="253">
        <f>SUM(H364,H372,H392,H395,H397)</f>
        <v>0</v>
      </c>
      <c r="I363" s="235"/>
      <c r="J363" s="235"/>
      <c r="K363" s="235"/>
      <c r="L363" s="214">
        <f>'ИСПОЛНЕНИЕ 1 КВ.'!H364+'ИСПОЛНЕНИЕ 2 КВ. '!I373</f>
        <v>0</v>
      </c>
      <c r="M363" s="235"/>
    </row>
    <row r="364" spans="1:13" s="45" customFormat="1" ht="14.25" customHeight="1" hidden="1">
      <c r="A364" s="43" t="s">
        <v>4</v>
      </c>
      <c r="B364" s="44" t="s">
        <v>157</v>
      </c>
      <c r="C364" s="44" t="s">
        <v>142</v>
      </c>
      <c r="D364" s="44" t="s">
        <v>69</v>
      </c>
      <c r="E364" s="44" t="s">
        <v>5</v>
      </c>
      <c r="F364" s="44"/>
      <c r="G364" s="239">
        <f>SUM(G365,G366,G371)</f>
        <v>0</v>
      </c>
      <c r="H364" s="239">
        <f>SUM(H365,H366,H371)</f>
        <v>0</v>
      </c>
      <c r="I364" s="239"/>
      <c r="J364" s="239"/>
      <c r="K364" s="239"/>
      <c r="L364" s="214">
        <f>'ИСПОЛНЕНИЕ 1 КВ.'!H365+'ИСПОЛНЕНИЕ 2 КВ. '!I374</f>
        <v>0</v>
      </c>
      <c r="M364" s="239"/>
    </row>
    <row r="365" spans="1:13" s="21" customFormat="1" ht="12.75" hidden="1">
      <c r="A365" s="16" t="s">
        <v>6</v>
      </c>
      <c r="B365" s="27" t="s">
        <v>157</v>
      </c>
      <c r="C365" s="27" t="s">
        <v>142</v>
      </c>
      <c r="D365" s="27" t="s">
        <v>69</v>
      </c>
      <c r="E365" s="17" t="s">
        <v>7</v>
      </c>
      <c r="F365" s="17"/>
      <c r="G365" s="240">
        <f>SUM(H365:H365)</f>
        <v>0</v>
      </c>
      <c r="H365" s="240"/>
      <c r="I365" s="236"/>
      <c r="J365" s="236"/>
      <c r="K365" s="236"/>
      <c r="L365" s="214">
        <f>'ИСПОЛНЕНИЕ 1 КВ.'!H366+'ИСПОЛНЕНИЕ 2 КВ. '!I375</f>
        <v>0</v>
      </c>
      <c r="M365" s="236"/>
    </row>
    <row r="366" spans="1:13" s="21" customFormat="1" ht="12.75" hidden="1">
      <c r="A366" s="16" t="s">
        <v>8</v>
      </c>
      <c r="B366" s="27" t="s">
        <v>157</v>
      </c>
      <c r="C366" s="27" t="s">
        <v>142</v>
      </c>
      <c r="D366" s="27" t="s">
        <v>69</v>
      </c>
      <c r="E366" s="17" t="s">
        <v>9</v>
      </c>
      <c r="F366" s="17"/>
      <c r="G366" s="240">
        <f>SUM(G367:G370)</f>
        <v>0</v>
      </c>
      <c r="H366" s="240">
        <f>SUM(H367:H370)</f>
        <v>0</v>
      </c>
      <c r="I366" s="236"/>
      <c r="J366" s="236"/>
      <c r="K366" s="236"/>
      <c r="L366" s="214">
        <f>'ИСПОЛНЕНИЕ 1 КВ.'!H367+'ИСПОЛНЕНИЕ 2 КВ. '!I376</f>
        <v>0</v>
      </c>
      <c r="M366" s="236"/>
    </row>
    <row r="367" spans="1:13" s="21" customFormat="1" ht="25.5" hidden="1">
      <c r="A367" s="11" t="s">
        <v>10</v>
      </c>
      <c r="B367" s="4"/>
      <c r="C367" s="4"/>
      <c r="D367" s="4"/>
      <c r="E367" s="4"/>
      <c r="F367" s="4" t="s">
        <v>183</v>
      </c>
      <c r="G367" s="250">
        <f aca="true" t="shared" si="58" ref="G367:G373">SUM(H367:H367)</f>
        <v>0</v>
      </c>
      <c r="H367" s="250"/>
      <c r="I367" s="236"/>
      <c r="J367" s="236"/>
      <c r="K367" s="236"/>
      <c r="L367" s="214">
        <f>'ИСПОЛНЕНИЕ 1 КВ.'!H368+'ИСПОЛНЕНИЕ 2 КВ. '!I377</f>
        <v>0</v>
      </c>
      <c r="M367" s="236"/>
    </row>
    <row r="368" spans="1:13" s="21" customFormat="1" ht="12.75" customHeight="1" hidden="1">
      <c r="A368" s="12" t="s">
        <v>11</v>
      </c>
      <c r="B368" s="4"/>
      <c r="C368" s="4"/>
      <c r="D368" s="4"/>
      <c r="E368" s="4"/>
      <c r="F368" s="4" t="s">
        <v>200</v>
      </c>
      <c r="G368" s="250">
        <f t="shared" si="58"/>
        <v>0</v>
      </c>
      <c r="H368" s="250"/>
      <c r="I368" s="236"/>
      <c r="J368" s="236"/>
      <c r="K368" s="236"/>
      <c r="L368" s="214">
        <f>'ИСПОЛНЕНИЕ 1 КВ.'!H369+'ИСПОЛНЕНИЕ 2 КВ. '!I378</f>
        <v>0</v>
      </c>
      <c r="M368" s="236"/>
    </row>
    <row r="369" spans="1:13" s="30" customFormat="1" ht="12.75" hidden="1">
      <c r="A369" s="65" t="s">
        <v>130</v>
      </c>
      <c r="B369" s="29"/>
      <c r="C369" s="29"/>
      <c r="D369" s="29"/>
      <c r="E369" s="29"/>
      <c r="F369" s="29" t="s">
        <v>199</v>
      </c>
      <c r="G369" s="254">
        <f t="shared" si="58"/>
        <v>0</v>
      </c>
      <c r="H369" s="254"/>
      <c r="I369" s="254"/>
      <c r="J369" s="254"/>
      <c r="K369" s="254"/>
      <c r="L369" s="214">
        <f>'ИСПОЛНЕНИЕ 1 КВ.'!H370+'ИСПОЛНЕНИЕ 2 КВ. '!I379</f>
        <v>0</v>
      </c>
      <c r="M369" s="254"/>
    </row>
    <row r="370" spans="1:13" s="21" customFormat="1" ht="25.5" hidden="1">
      <c r="A370" s="6" t="s">
        <v>12</v>
      </c>
      <c r="B370" s="4"/>
      <c r="C370" s="4"/>
      <c r="D370" s="4"/>
      <c r="E370" s="4"/>
      <c r="F370" s="4" t="s">
        <v>184</v>
      </c>
      <c r="G370" s="250">
        <f t="shared" si="58"/>
        <v>0</v>
      </c>
      <c r="H370" s="250"/>
      <c r="I370" s="236"/>
      <c r="J370" s="236"/>
      <c r="K370" s="236"/>
      <c r="L370" s="214">
        <f>'ИСПОЛНЕНИЕ 1 КВ.'!H371+'ИСПОЛНЕНИЕ 2 КВ. '!I380</f>
        <v>0</v>
      </c>
      <c r="M370" s="236"/>
    </row>
    <row r="371" spans="1:13" s="21" customFormat="1" ht="12.75" hidden="1">
      <c r="A371" s="16" t="s">
        <v>13</v>
      </c>
      <c r="B371" s="27" t="s">
        <v>157</v>
      </c>
      <c r="C371" s="27" t="s">
        <v>142</v>
      </c>
      <c r="D371" s="27" t="s">
        <v>69</v>
      </c>
      <c r="E371" s="17" t="s">
        <v>14</v>
      </c>
      <c r="F371" s="17"/>
      <c r="G371" s="249">
        <f t="shared" si="58"/>
        <v>0</v>
      </c>
      <c r="H371" s="240"/>
      <c r="I371" s="236"/>
      <c r="J371" s="236"/>
      <c r="K371" s="236"/>
      <c r="L371" s="214">
        <f>'ИСПОЛНЕНИЕ 1 КВ.'!H372+'ИСПОЛНЕНИЕ 2 КВ. '!I381</f>
        <v>0</v>
      </c>
      <c r="M371" s="236"/>
    </row>
    <row r="372" spans="1:13" s="45" customFormat="1" ht="12.75" hidden="1">
      <c r="A372" s="43" t="s">
        <v>15</v>
      </c>
      <c r="B372" s="44" t="s">
        <v>157</v>
      </c>
      <c r="C372" s="44" t="s">
        <v>142</v>
      </c>
      <c r="D372" s="44" t="s">
        <v>69</v>
      </c>
      <c r="E372" s="44" t="s">
        <v>16</v>
      </c>
      <c r="F372" s="44"/>
      <c r="G372" s="239">
        <f t="shared" si="58"/>
        <v>0</v>
      </c>
      <c r="H372" s="239">
        <f>SUM(H373:H374,H377,H381,H382,H388,)</f>
        <v>0</v>
      </c>
      <c r="I372" s="239"/>
      <c r="J372" s="239"/>
      <c r="K372" s="239"/>
      <c r="L372" s="214">
        <f>'ИСПОЛНЕНИЕ 1 КВ.'!H373+'ИСПОЛНЕНИЕ 2 КВ. '!I382</f>
        <v>0</v>
      </c>
      <c r="M372" s="239"/>
    </row>
    <row r="373" spans="1:13" s="21" customFormat="1" ht="12.75" hidden="1">
      <c r="A373" s="16" t="s">
        <v>17</v>
      </c>
      <c r="B373" s="27" t="s">
        <v>157</v>
      </c>
      <c r="C373" s="27" t="s">
        <v>142</v>
      </c>
      <c r="D373" s="27" t="s">
        <v>69</v>
      </c>
      <c r="E373" s="17" t="s">
        <v>18</v>
      </c>
      <c r="F373" s="17"/>
      <c r="G373" s="240">
        <f t="shared" si="58"/>
        <v>0</v>
      </c>
      <c r="H373" s="240"/>
      <c r="I373" s="236"/>
      <c r="J373" s="236"/>
      <c r="K373" s="236"/>
      <c r="L373" s="214">
        <f>'ИСПОЛНЕНИЕ 1 КВ.'!H374+'ИСПОЛНЕНИЕ 2 КВ. '!I383</f>
        <v>0</v>
      </c>
      <c r="M373" s="236"/>
    </row>
    <row r="374" spans="1:13" s="21" customFormat="1" ht="12.75" hidden="1">
      <c r="A374" s="16" t="s">
        <v>21</v>
      </c>
      <c r="B374" s="27" t="s">
        <v>157</v>
      </c>
      <c r="C374" s="27" t="s">
        <v>142</v>
      </c>
      <c r="D374" s="27" t="s">
        <v>69</v>
      </c>
      <c r="E374" s="17" t="s">
        <v>19</v>
      </c>
      <c r="F374" s="17"/>
      <c r="G374" s="240">
        <f>SUM(G375:G376)</f>
        <v>0</v>
      </c>
      <c r="H374" s="240">
        <f>SUM(H375:H376)</f>
        <v>0</v>
      </c>
      <c r="I374" s="236"/>
      <c r="J374" s="236"/>
      <c r="K374" s="236"/>
      <c r="L374" s="214">
        <f>'ИСПОЛНЕНИЕ 1 КВ.'!H375+'ИСПОЛНЕНИЕ 2 КВ. '!I384</f>
        <v>0</v>
      </c>
      <c r="M374" s="236"/>
    </row>
    <row r="375" spans="1:13" s="21" customFormat="1" ht="25.5" hidden="1">
      <c r="A375" s="11" t="s">
        <v>20</v>
      </c>
      <c r="B375" s="4"/>
      <c r="C375" s="4"/>
      <c r="D375" s="4"/>
      <c r="E375" s="4"/>
      <c r="F375" s="4" t="s">
        <v>183</v>
      </c>
      <c r="G375" s="250">
        <f>SUM(H375:H375)</f>
        <v>0</v>
      </c>
      <c r="H375" s="250"/>
      <c r="I375" s="236"/>
      <c r="J375" s="236"/>
      <c r="K375" s="236"/>
      <c r="L375" s="214">
        <f>'ИСПОЛНЕНИЕ 1 КВ.'!H376+'ИСПОЛНЕНИЕ 2 КВ. '!I385</f>
        <v>0</v>
      </c>
      <c r="M375" s="236"/>
    </row>
    <row r="376" spans="1:13" s="21" customFormat="1" ht="38.25" hidden="1">
      <c r="A376" s="8" t="s">
        <v>22</v>
      </c>
      <c r="B376" s="4"/>
      <c r="C376" s="4"/>
      <c r="D376" s="4"/>
      <c r="E376" s="4"/>
      <c r="F376" s="4" t="s">
        <v>185</v>
      </c>
      <c r="G376" s="250">
        <f>SUM(H376:H376)</f>
        <v>0</v>
      </c>
      <c r="H376" s="250"/>
      <c r="I376" s="236"/>
      <c r="J376" s="236"/>
      <c r="K376" s="236"/>
      <c r="L376" s="214">
        <f>'ИСПОЛНЕНИЕ 1 КВ.'!H377+'ИСПОЛНЕНИЕ 2 КВ. '!I386</f>
        <v>0</v>
      </c>
      <c r="M376" s="236"/>
    </row>
    <row r="377" spans="1:13" s="21" customFormat="1" ht="12.75" hidden="1">
      <c r="A377" s="16" t="s">
        <v>23</v>
      </c>
      <c r="B377" s="27" t="s">
        <v>157</v>
      </c>
      <c r="C377" s="27" t="s">
        <v>142</v>
      </c>
      <c r="D377" s="27" t="s">
        <v>69</v>
      </c>
      <c r="E377" s="17" t="s">
        <v>24</v>
      </c>
      <c r="F377" s="17"/>
      <c r="G377" s="240">
        <f>SUM(G378:G380)</f>
        <v>0</v>
      </c>
      <c r="H377" s="240">
        <f>SUM(H378:H380)</f>
        <v>0</v>
      </c>
      <c r="I377" s="236"/>
      <c r="J377" s="236"/>
      <c r="K377" s="236"/>
      <c r="L377" s="214">
        <f>'ИСПОЛНЕНИЕ 1 КВ.'!H378+'ИСПОЛНЕНИЕ 2 КВ. '!I387</f>
        <v>0</v>
      </c>
      <c r="M377" s="236"/>
    </row>
    <row r="378" spans="1:13" s="21" customFormat="1" ht="25.5" hidden="1">
      <c r="A378" s="7" t="s">
        <v>25</v>
      </c>
      <c r="B378" s="4"/>
      <c r="C378" s="4"/>
      <c r="D378" s="4"/>
      <c r="E378" s="4"/>
      <c r="F378" s="4" t="s">
        <v>186</v>
      </c>
      <c r="G378" s="250">
        <f>SUM(H378:H378)</f>
        <v>0</v>
      </c>
      <c r="H378" s="250"/>
      <c r="I378" s="236"/>
      <c r="J378" s="236"/>
      <c r="K378" s="236"/>
      <c r="L378" s="214">
        <f>'ИСПОЛНЕНИЕ 1 КВ.'!H379+'ИСПОЛНЕНИЕ 2 КВ. '!I388</f>
        <v>0</v>
      </c>
      <c r="M378" s="236"/>
    </row>
    <row r="379" spans="1:13" s="21" customFormat="1" ht="25.5" hidden="1">
      <c r="A379" s="7" t="s">
        <v>26</v>
      </c>
      <c r="B379" s="4"/>
      <c r="C379" s="4"/>
      <c r="D379" s="4"/>
      <c r="E379" s="4"/>
      <c r="F379" s="4" t="s">
        <v>187</v>
      </c>
      <c r="G379" s="250">
        <f>SUM(H379:H379)</f>
        <v>0</v>
      </c>
      <c r="H379" s="250"/>
      <c r="I379" s="236"/>
      <c r="J379" s="236"/>
      <c r="K379" s="236"/>
      <c r="L379" s="214">
        <f>'ИСПОЛНЕНИЕ 1 КВ.'!H380+'ИСПОЛНЕНИЕ 2 КВ. '!I389</f>
        <v>0</v>
      </c>
      <c r="M379" s="236"/>
    </row>
    <row r="380" spans="1:13" s="21" customFormat="1" ht="12.75" hidden="1">
      <c r="A380" s="7" t="s">
        <v>27</v>
      </c>
      <c r="B380" s="4"/>
      <c r="C380" s="4"/>
      <c r="D380" s="4"/>
      <c r="E380" s="4"/>
      <c r="F380" s="4" t="s">
        <v>188</v>
      </c>
      <c r="G380" s="250">
        <f>SUM(H380:H380)</f>
        <v>0</v>
      </c>
      <c r="H380" s="250"/>
      <c r="I380" s="236"/>
      <c r="J380" s="236"/>
      <c r="K380" s="236"/>
      <c r="L380" s="214">
        <f>'ИСПОЛНЕНИЕ 1 КВ.'!H381+'ИСПОЛНЕНИЕ 2 КВ. '!I390</f>
        <v>0</v>
      </c>
      <c r="M380" s="236"/>
    </row>
    <row r="381" spans="1:13" s="21" customFormat="1" ht="13.5" customHeight="1" hidden="1">
      <c r="A381" s="16" t="s">
        <v>28</v>
      </c>
      <c r="B381" s="27" t="s">
        <v>157</v>
      </c>
      <c r="C381" s="27" t="s">
        <v>142</v>
      </c>
      <c r="D381" s="27" t="s">
        <v>69</v>
      </c>
      <c r="E381" s="17" t="s">
        <v>29</v>
      </c>
      <c r="F381" s="17"/>
      <c r="G381" s="250">
        <f>SUM(H381:H381)</f>
        <v>0</v>
      </c>
      <c r="H381" s="240"/>
      <c r="I381" s="236"/>
      <c r="J381" s="236"/>
      <c r="K381" s="236"/>
      <c r="L381" s="214">
        <f>'ИСПОЛНЕНИЕ 1 КВ.'!H382+'ИСПОЛНЕНИЕ 2 КВ. '!I391</f>
        <v>0</v>
      </c>
      <c r="M381" s="236"/>
    </row>
    <row r="382" spans="1:13" s="21" customFormat="1" ht="12.75" hidden="1">
      <c r="A382" s="16" t="s">
        <v>30</v>
      </c>
      <c r="B382" s="27" t="s">
        <v>157</v>
      </c>
      <c r="C382" s="27" t="s">
        <v>142</v>
      </c>
      <c r="D382" s="27" t="s">
        <v>69</v>
      </c>
      <c r="E382" s="17" t="s">
        <v>31</v>
      </c>
      <c r="F382" s="17"/>
      <c r="G382" s="240">
        <f>SUM(G383:G387)</f>
        <v>0</v>
      </c>
      <c r="H382" s="240">
        <f>SUM(H383:H387)</f>
        <v>0</v>
      </c>
      <c r="I382" s="236"/>
      <c r="J382" s="236"/>
      <c r="K382" s="236"/>
      <c r="L382" s="214">
        <f>'ИСПОЛНЕНИЕ 1 КВ.'!H383+'ИСПОЛНЕНИЕ 2 КВ. '!I392</f>
        <v>0</v>
      </c>
      <c r="M382" s="236"/>
    </row>
    <row r="383" spans="1:13" s="21" customFormat="1" ht="12.75" hidden="1">
      <c r="A383" s="7" t="s">
        <v>32</v>
      </c>
      <c r="B383" s="17"/>
      <c r="C383" s="17"/>
      <c r="D383" s="17"/>
      <c r="E383" s="17"/>
      <c r="F383" s="17" t="s">
        <v>189</v>
      </c>
      <c r="G383" s="240">
        <f>SUM(H383:H383)</f>
        <v>0</v>
      </c>
      <c r="H383" s="240"/>
      <c r="I383" s="236"/>
      <c r="J383" s="236"/>
      <c r="K383" s="236"/>
      <c r="L383" s="214">
        <f>'ИСПОЛНЕНИЕ 1 КВ.'!H384+'ИСПОЛНЕНИЕ 2 КВ. '!I393</f>
        <v>0</v>
      </c>
      <c r="M383" s="236"/>
    </row>
    <row r="384" spans="1:13" s="21" customFormat="1" ht="12.75" hidden="1">
      <c r="A384" s="7" t="s">
        <v>33</v>
      </c>
      <c r="B384" s="17"/>
      <c r="C384" s="17"/>
      <c r="D384" s="17"/>
      <c r="E384" s="17"/>
      <c r="F384" s="17" t="s">
        <v>191</v>
      </c>
      <c r="G384" s="240">
        <f>SUM(H384:H384)</f>
        <v>0</v>
      </c>
      <c r="H384" s="240"/>
      <c r="I384" s="236"/>
      <c r="J384" s="236"/>
      <c r="K384" s="236"/>
      <c r="L384" s="214">
        <f>'ИСПОЛНЕНИЕ 1 КВ.'!H385+'ИСПОЛНЕНИЕ 2 КВ. '!I394</f>
        <v>0</v>
      </c>
      <c r="M384" s="236"/>
    </row>
    <row r="385" spans="1:13" s="21" customFormat="1" ht="25.5" hidden="1">
      <c r="A385" s="7" t="s">
        <v>34</v>
      </c>
      <c r="B385" s="17"/>
      <c r="C385" s="17"/>
      <c r="D385" s="17"/>
      <c r="E385" s="17"/>
      <c r="F385" s="17" t="s">
        <v>221</v>
      </c>
      <c r="G385" s="240">
        <f>SUM(H385:H385)</f>
        <v>0</v>
      </c>
      <c r="H385" s="240"/>
      <c r="I385" s="236"/>
      <c r="J385" s="236"/>
      <c r="K385" s="236"/>
      <c r="L385" s="214">
        <f>'ИСПОЛНЕНИЕ 1 КВ.'!H386+'ИСПОЛНЕНИЕ 2 КВ. '!I395</f>
        <v>0</v>
      </c>
      <c r="M385" s="236"/>
    </row>
    <row r="386" spans="1:13" s="21" customFormat="1" ht="25.5" hidden="1">
      <c r="A386" s="7" t="s">
        <v>35</v>
      </c>
      <c r="B386" s="17"/>
      <c r="C386" s="17"/>
      <c r="D386" s="17"/>
      <c r="E386" s="17"/>
      <c r="F386" s="17" t="s">
        <v>190</v>
      </c>
      <c r="G386" s="240">
        <f>SUM(H386:H386)</f>
        <v>0</v>
      </c>
      <c r="H386" s="240"/>
      <c r="I386" s="236"/>
      <c r="J386" s="236"/>
      <c r="K386" s="236"/>
      <c r="L386" s="214">
        <f>'ИСПОЛНЕНИЕ 1 КВ.'!H387+'ИСПОЛНЕНИЕ 2 КВ. '!I396</f>
        <v>0</v>
      </c>
      <c r="M386" s="236"/>
    </row>
    <row r="387" spans="1:13" s="21" customFormat="1" ht="51" hidden="1">
      <c r="A387" s="7" t="s">
        <v>36</v>
      </c>
      <c r="B387" s="17"/>
      <c r="C387" s="17"/>
      <c r="D387" s="17"/>
      <c r="E387" s="17"/>
      <c r="F387" s="17" t="s">
        <v>190</v>
      </c>
      <c r="G387" s="240">
        <f>SUM(H387:H387)</f>
        <v>0</v>
      </c>
      <c r="H387" s="240"/>
      <c r="I387" s="236"/>
      <c r="J387" s="236"/>
      <c r="K387" s="236"/>
      <c r="L387" s="214">
        <f>'ИСПОЛНЕНИЕ 1 КВ.'!H388+'ИСПОЛНЕНИЕ 2 КВ. '!I397</f>
        <v>0</v>
      </c>
      <c r="M387" s="236"/>
    </row>
    <row r="388" spans="1:13" s="21" customFormat="1" ht="12.75" hidden="1">
      <c r="A388" s="16" t="s">
        <v>37</v>
      </c>
      <c r="B388" s="27" t="s">
        <v>157</v>
      </c>
      <c r="C388" s="27" t="s">
        <v>142</v>
      </c>
      <c r="D388" s="27" t="s">
        <v>69</v>
      </c>
      <c r="E388" s="17" t="s">
        <v>38</v>
      </c>
      <c r="F388" s="17"/>
      <c r="G388" s="240">
        <f>SUM(G389:G391)</f>
        <v>0</v>
      </c>
      <c r="H388" s="240">
        <f>SUM(H389:H391)</f>
        <v>0</v>
      </c>
      <c r="I388" s="236"/>
      <c r="J388" s="236"/>
      <c r="K388" s="236"/>
      <c r="L388" s="214">
        <f>'ИСПОЛНЕНИЕ 1 КВ.'!H389+'ИСПОЛНЕНИЕ 2 КВ. '!I398</f>
        <v>0</v>
      </c>
      <c r="M388" s="236"/>
    </row>
    <row r="389" spans="1:13" s="21" customFormat="1" ht="38.25" hidden="1">
      <c r="A389" s="11" t="s">
        <v>39</v>
      </c>
      <c r="B389" s="20"/>
      <c r="C389" s="20"/>
      <c r="D389" s="20"/>
      <c r="E389" s="20"/>
      <c r="F389" s="20" t="s">
        <v>183</v>
      </c>
      <c r="G389" s="236">
        <f>SUM(H389:H389)</f>
        <v>0</v>
      </c>
      <c r="H389" s="236"/>
      <c r="I389" s="236"/>
      <c r="J389" s="236"/>
      <c r="K389" s="236"/>
      <c r="L389" s="214">
        <f>'ИСПОЛНЕНИЕ 1 КВ.'!H390+'ИСПОЛНЕНИЕ 2 КВ. '!I399</f>
        <v>0</v>
      </c>
      <c r="M389" s="236"/>
    </row>
    <row r="390" spans="1:13" s="21" customFormat="1" ht="38.25" hidden="1">
      <c r="A390" s="19" t="s">
        <v>40</v>
      </c>
      <c r="B390" s="20"/>
      <c r="C390" s="20"/>
      <c r="D390" s="20"/>
      <c r="E390" s="20"/>
      <c r="F390" s="20" t="s">
        <v>222</v>
      </c>
      <c r="G390" s="236">
        <f>SUM(H390:H390)</f>
        <v>0</v>
      </c>
      <c r="H390" s="236"/>
      <c r="I390" s="236"/>
      <c r="J390" s="236"/>
      <c r="K390" s="236"/>
      <c r="L390" s="214">
        <f>'ИСПОЛНЕНИЕ 1 КВ.'!H391+'ИСПОЛНЕНИЕ 2 КВ. '!I400</f>
        <v>0</v>
      </c>
      <c r="M390" s="236"/>
    </row>
    <row r="391" spans="1:13" s="21" customFormat="1" ht="27" customHeight="1" hidden="1">
      <c r="A391" s="12" t="s">
        <v>41</v>
      </c>
      <c r="B391" s="20"/>
      <c r="C391" s="20"/>
      <c r="D391" s="20"/>
      <c r="E391" s="20"/>
      <c r="F391" s="20" t="s">
        <v>192</v>
      </c>
      <c r="G391" s="236">
        <f>SUM(H391:H391)</f>
        <v>0</v>
      </c>
      <c r="H391" s="236"/>
      <c r="I391" s="236"/>
      <c r="J391" s="236"/>
      <c r="K391" s="236"/>
      <c r="L391" s="214">
        <f>'ИСПОЛНЕНИЕ 1 КВ.'!H392+'ИСПОЛНЕНИЕ 2 КВ. '!I401</f>
        <v>0</v>
      </c>
      <c r="M391" s="236"/>
    </row>
    <row r="392" spans="1:13" s="45" customFormat="1" ht="12.75" hidden="1">
      <c r="A392" s="43" t="s">
        <v>42</v>
      </c>
      <c r="B392" s="44" t="s">
        <v>157</v>
      </c>
      <c r="C392" s="44" t="s">
        <v>142</v>
      </c>
      <c r="D392" s="44" t="s">
        <v>69</v>
      </c>
      <c r="E392" s="44" t="s">
        <v>43</v>
      </c>
      <c r="F392" s="44"/>
      <c r="G392" s="239">
        <f>SUM(G393)</f>
        <v>0</v>
      </c>
      <c r="H392" s="239">
        <f>SUM(H393)</f>
        <v>0</v>
      </c>
      <c r="I392" s="239"/>
      <c r="J392" s="239"/>
      <c r="K392" s="239"/>
      <c r="L392" s="214">
        <f>'ИСПОЛНЕНИЕ 1 КВ.'!H393+'ИСПОЛНЕНИЕ 2 КВ. '!I402</f>
        <v>0</v>
      </c>
      <c r="M392" s="239"/>
    </row>
    <row r="393" spans="1:13" s="21" customFormat="1" ht="12.75" hidden="1">
      <c r="A393" s="16" t="s">
        <v>44</v>
      </c>
      <c r="B393" s="27" t="s">
        <v>157</v>
      </c>
      <c r="C393" s="27" t="s">
        <v>142</v>
      </c>
      <c r="D393" s="27" t="s">
        <v>69</v>
      </c>
      <c r="E393" s="17" t="s">
        <v>45</v>
      </c>
      <c r="F393" s="17"/>
      <c r="G393" s="240">
        <f>SUM(H393:H393)</f>
        <v>0</v>
      </c>
      <c r="H393" s="240">
        <f>SUM(H394)</f>
        <v>0</v>
      </c>
      <c r="I393" s="236"/>
      <c r="J393" s="236"/>
      <c r="K393" s="236"/>
      <c r="L393" s="214">
        <f>'ИСПОЛНЕНИЕ 1 КВ.'!H394+'ИСПОЛНЕНИЕ 2 КВ. '!I403</f>
        <v>0</v>
      </c>
      <c r="M393" s="236"/>
    </row>
    <row r="394" spans="1:13" s="21" customFormat="1" ht="12.75" hidden="1">
      <c r="A394" s="6" t="s">
        <v>46</v>
      </c>
      <c r="B394" s="20"/>
      <c r="C394" s="20"/>
      <c r="D394" s="20"/>
      <c r="E394" s="20"/>
      <c r="F394" s="20"/>
      <c r="G394" s="254">
        <f>SUM(H394:H394)</f>
        <v>0</v>
      </c>
      <c r="H394" s="236"/>
      <c r="I394" s="236"/>
      <c r="J394" s="236"/>
      <c r="K394" s="236"/>
      <c r="L394" s="214">
        <f>'ИСПОЛНЕНИЕ 1 КВ.'!H395+'ИСПОЛНЕНИЕ 2 КВ. '!I404</f>
        <v>0</v>
      </c>
      <c r="M394" s="236"/>
    </row>
    <row r="395" spans="1:13" s="45" customFormat="1" ht="12.75" hidden="1">
      <c r="A395" s="43" t="s">
        <v>47</v>
      </c>
      <c r="B395" s="44" t="s">
        <v>157</v>
      </c>
      <c r="C395" s="44" t="s">
        <v>142</v>
      </c>
      <c r="D395" s="44" t="s">
        <v>69</v>
      </c>
      <c r="E395" s="44" t="s">
        <v>48</v>
      </c>
      <c r="F395" s="44"/>
      <c r="G395" s="239">
        <f>SUM(H395:H395)</f>
        <v>0</v>
      </c>
      <c r="H395" s="239">
        <f>SUM(H396)</f>
        <v>0</v>
      </c>
      <c r="I395" s="239"/>
      <c r="J395" s="239"/>
      <c r="K395" s="239"/>
      <c r="L395" s="214">
        <f>'ИСПОЛНЕНИЕ 1 КВ.'!H396+'ИСПОЛНЕНИЕ 2 КВ. '!I405</f>
        <v>0</v>
      </c>
      <c r="M395" s="239"/>
    </row>
    <row r="396" spans="1:13" s="21" customFormat="1" ht="25.5" hidden="1">
      <c r="A396" s="12" t="s">
        <v>41</v>
      </c>
      <c r="B396" s="20"/>
      <c r="C396" s="20"/>
      <c r="D396" s="20"/>
      <c r="E396" s="20"/>
      <c r="F396" s="20"/>
      <c r="G396" s="236">
        <f>SUM(H396:H396)</f>
        <v>0</v>
      </c>
      <c r="H396" s="236"/>
      <c r="I396" s="236"/>
      <c r="J396" s="236"/>
      <c r="K396" s="236"/>
      <c r="L396" s="214">
        <f>'ИСПОЛНЕНИЕ 1 КВ.'!H397+'ИСПОЛНЕНИЕ 2 КВ. '!I406</f>
        <v>0</v>
      </c>
      <c r="M396" s="236"/>
    </row>
    <row r="397" spans="1:13" s="45" customFormat="1" ht="12.75" hidden="1">
      <c r="A397" s="43" t="s">
        <v>49</v>
      </c>
      <c r="B397" s="44" t="s">
        <v>157</v>
      </c>
      <c r="C397" s="44" t="s">
        <v>142</v>
      </c>
      <c r="D397" s="44" t="s">
        <v>69</v>
      </c>
      <c r="E397" s="44" t="s">
        <v>50</v>
      </c>
      <c r="F397" s="44"/>
      <c r="G397" s="239">
        <f>SUM(G398,G402)</f>
        <v>0</v>
      </c>
      <c r="H397" s="239">
        <f>SUM(H398,H402)</f>
        <v>0</v>
      </c>
      <c r="I397" s="239"/>
      <c r="J397" s="239"/>
      <c r="K397" s="239"/>
      <c r="L397" s="214">
        <f>'ИСПОЛНЕНИЕ 1 КВ.'!H398+'ИСПОЛНЕНИЕ 2 КВ. '!I407</f>
        <v>0</v>
      </c>
      <c r="M397" s="239"/>
    </row>
    <row r="398" spans="1:13" s="21" customFormat="1" ht="12.75" hidden="1">
      <c r="A398" s="16" t="s">
        <v>51</v>
      </c>
      <c r="B398" s="27" t="s">
        <v>157</v>
      </c>
      <c r="C398" s="27" t="s">
        <v>142</v>
      </c>
      <c r="D398" s="27" t="s">
        <v>69</v>
      </c>
      <c r="E398" s="17" t="s">
        <v>52</v>
      </c>
      <c r="F398" s="17"/>
      <c r="G398" s="240">
        <f>SUM(G399:G401)</f>
        <v>0</v>
      </c>
      <c r="H398" s="240">
        <f>SUM(H399:H401)</f>
        <v>0</v>
      </c>
      <c r="I398" s="236"/>
      <c r="J398" s="236"/>
      <c r="K398" s="236"/>
      <c r="L398" s="214">
        <f>'ИСПОЛНЕНИЕ 1 КВ.'!H399+'ИСПОЛНЕНИЕ 2 КВ. '!I408</f>
        <v>0</v>
      </c>
      <c r="M398" s="236"/>
    </row>
    <row r="399" spans="1:13" s="21" customFormat="1" ht="12.75" hidden="1">
      <c r="A399" s="7" t="s">
        <v>53</v>
      </c>
      <c r="B399" s="20"/>
      <c r="C399" s="20"/>
      <c r="D399" s="20"/>
      <c r="E399" s="20"/>
      <c r="F399" s="20" t="s">
        <v>223</v>
      </c>
      <c r="G399" s="236">
        <f>SUM(H399:H399)</f>
        <v>0</v>
      </c>
      <c r="H399" s="236"/>
      <c r="I399" s="236"/>
      <c r="J399" s="236"/>
      <c r="K399" s="236"/>
      <c r="L399" s="214">
        <f>'ИСПОЛНЕНИЕ 1 КВ.'!H400+'ИСПОЛНЕНИЕ 2 КВ. '!I409</f>
        <v>0</v>
      </c>
      <c r="M399" s="236"/>
    </row>
    <row r="400" spans="1:13" s="21" customFormat="1" ht="51" hidden="1">
      <c r="A400" s="7" t="s">
        <v>54</v>
      </c>
      <c r="B400" s="20"/>
      <c r="C400" s="20"/>
      <c r="D400" s="20"/>
      <c r="E400" s="20"/>
      <c r="F400" s="20" t="s">
        <v>194</v>
      </c>
      <c r="G400" s="236">
        <f>SUM(H400:H400)</f>
        <v>0</v>
      </c>
      <c r="H400" s="236"/>
      <c r="I400" s="236"/>
      <c r="J400" s="236"/>
      <c r="K400" s="236"/>
      <c r="L400" s="214">
        <f>'ИСПОЛНЕНИЕ 1 КВ.'!H401+'ИСПОЛНЕНИЕ 2 КВ. '!I410</f>
        <v>0</v>
      </c>
      <c r="M400" s="236"/>
    </row>
    <row r="401" spans="1:13" s="21" customFormat="1" ht="50.25" customHeight="1" hidden="1">
      <c r="A401" s="7" t="s">
        <v>55</v>
      </c>
      <c r="B401" s="20"/>
      <c r="C401" s="20"/>
      <c r="D401" s="20"/>
      <c r="E401" s="20"/>
      <c r="F401" s="20" t="s">
        <v>193</v>
      </c>
      <c r="G401" s="236">
        <f>SUM(H401:H401)</f>
        <v>0</v>
      </c>
      <c r="H401" s="236"/>
      <c r="I401" s="236"/>
      <c r="J401" s="236"/>
      <c r="K401" s="236"/>
      <c r="L401" s="214">
        <f>'ИСПОЛНЕНИЕ 1 КВ.'!H402+'ИСПОЛНЕНИЕ 2 КВ. '!I411</f>
        <v>0</v>
      </c>
      <c r="M401" s="236"/>
    </row>
    <row r="402" spans="1:13" s="21" customFormat="1" ht="14.25" customHeight="1" hidden="1">
      <c r="A402" s="16" t="s">
        <v>56</v>
      </c>
      <c r="B402" s="27" t="s">
        <v>157</v>
      </c>
      <c r="C402" s="27" t="s">
        <v>142</v>
      </c>
      <c r="D402" s="27" t="s">
        <v>69</v>
      </c>
      <c r="E402" s="17" t="s">
        <v>57</v>
      </c>
      <c r="F402" s="17"/>
      <c r="G402" s="240">
        <f>SUM(G403:G406)</f>
        <v>0</v>
      </c>
      <c r="H402" s="240">
        <f>SUM(H403:H406)</f>
        <v>0</v>
      </c>
      <c r="I402" s="236"/>
      <c r="J402" s="236"/>
      <c r="K402" s="236"/>
      <c r="L402" s="214">
        <f>'ИСПОЛНЕНИЕ 1 КВ.'!H403+'ИСПОЛНЕНИЕ 2 КВ. '!I412</f>
        <v>0</v>
      </c>
      <c r="M402" s="236"/>
    </row>
    <row r="403" spans="1:13" s="21" customFormat="1" ht="25.5" hidden="1">
      <c r="A403" s="7" t="s">
        <v>58</v>
      </c>
      <c r="B403" s="20"/>
      <c r="C403" s="20"/>
      <c r="D403" s="20"/>
      <c r="E403" s="20"/>
      <c r="F403" s="20" t="s">
        <v>195</v>
      </c>
      <c r="G403" s="236">
        <f>SUM(H403:H403)</f>
        <v>0</v>
      </c>
      <c r="H403" s="236"/>
      <c r="I403" s="236"/>
      <c r="J403" s="236"/>
      <c r="K403" s="236"/>
      <c r="L403" s="214">
        <f>'ИСПОЛНЕНИЕ 1 КВ.'!H404+'ИСПОЛНЕНИЕ 2 КВ. '!I413</f>
        <v>0</v>
      </c>
      <c r="M403" s="236"/>
    </row>
    <row r="404" spans="1:13" s="21" customFormat="1" ht="12.75" hidden="1">
      <c r="A404" s="7" t="s">
        <v>59</v>
      </c>
      <c r="B404" s="20"/>
      <c r="C404" s="20"/>
      <c r="D404" s="20"/>
      <c r="E404" s="20"/>
      <c r="F404" s="20" t="s">
        <v>196</v>
      </c>
      <c r="G404" s="236">
        <f>SUM(H404:H404)</f>
        <v>0</v>
      </c>
      <c r="H404" s="236"/>
      <c r="I404" s="236"/>
      <c r="J404" s="236"/>
      <c r="K404" s="236"/>
      <c r="L404" s="214">
        <f>'ИСПОЛНЕНИЕ 1 КВ.'!H405+'ИСПОЛНЕНИЕ 2 КВ. '!I414</f>
        <v>0</v>
      </c>
      <c r="M404" s="236"/>
    </row>
    <row r="405" spans="1:13" s="21" customFormat="1" ht="12.75" hidden="1">
      <c r="A405" s="7" t="s">
        <v>60</v>
      </c>
      <c r="B405" s="20"/>
      <c r="C405" s="20"/>
      <c r="D405" s="20"/>
      <c r="E405" s="20"/>
      <c r="F405" s="20" t="s">
        <v>197</v>
      </c>
      <c r="G405" s="236">
        <f>SUM(H405:H405)</f>
        <v>0</v>
      </c>
      <c r="H405" s="236"/>
      <c r="I405" s="236"/>
      <c r="J405" s="236"/>
      <c r="K405" s="236"/>
      <c r="L405" s="214">
        <f>'ИСПОЛНЕНИЕ 1 КВ.'!H406+'ИСПОЛНЕНИЕ 2 КВ. '!I415</f>
        <v>0</v>
      </c>
      <c r="M405" s="236"/>
    </row>
    <row r="406" spans="1:13" s="21" customFormat="1" ht="38.25" hidden="1">
      <c r="A406" s="7" t="s">
        <v>61</v>
      </c>
      <c r="B406" s="20"/>
      <c r="C406" s="20"/>
      <c r="D406" s="20"/>
      <c r="E406" s="20"/>
      <c r="F406" s="20" t="s">
        <v>198</v>
      </c>
      <c r="G406" s="236">
        <f>SUM(H406:H406)</f>
        <v>0</v>
      </c>
      <c r="H406" s="236"/>
      <c r="I406" s="236"/>
      <c r="J406" s="236"/>
      <c r="K406" s="236"/>
      <c r="L406" s="214">
        <f>'ИСПОЛНЕНИЕ 1 КВ.'!H407+'ИСПОЛНЕНИЕ 2 КВ. '!I416</f>
        <v>0</v>
      </c>
      <c r="M406" s="236"/>
    </row>
    <row r="407" spans="1:13" s="21" customFormat="1" ht="12.75" hidden="1">
      <c r="A407" s="23" t="s">
        <v>70</v>
      </c>
      <c r="B407" s="24" t="s">
        <v>158</v>
      </c>
      <c r="C407" s="24" t="s">
        <v>83</v>
      </c>
      <c r="D407" s="24"/>
      <c r="E407" s="24"/>
      <c r="F407" s="24"/>
      <c r="G407" s="252"/>
      <c r="H407" s="252"/>
      <c r="I407" s="236"/>
      <c r="J407" s="236"/>
      <c r="K407" s="236"/>
      <c r="L407" s="214">
        <f>'ИСПОЛНЕНИЕ 1 КВ.'!H408+'ИСПОЛНЕНИЕ 2 КВ. '!I417</f>
        <v>0</v>
      </c>
      <c r="M407" s="236"/>
    </row>
    <row r="408" spans="1:13" s="21" customFormat="1" ht="25.5" hidden="1">
      <c r="A408" s="26" t="s">
        <v>131</v>
      </c>
      <c r="B408" s="24" t="s">
        <v>158</v>
      </c>
      <c r="C408" s="24" t="s">
        <v>83</v>
      </c>
      <c r="D408" s="24" t="s">
        <v>69</v>
      </c>
      <c r="E408" s="24"/>
      <c r="F408" s="24"/>
      <c r="G408" s="253"/>
      <c r="H408" s="253"/>
      <c r="I408" s="236"/>
      <c r="J408" s="236"/>
      <c r="K408" s="236"/>
      <c r="L408" s="214">
        <f>'ИСПОЛНЕНИЕ 1 КВ.'!H409+'ИСПОЛНЕНИЕ 2 КВ. '!I418</f>
        <v>0</v>
      </c>
      <c r="M408" s="236"/>
    </row>
    <row r="409" spans="1:13" s="45" customFormat="1" ht="12.75" customHeight="1" hidden="1">
      <c r="A409" s="43" t="s">
        <v>4</v>
      </c>
      <c r="B409" s="44" t="s">
        <v>158</v>
      </c>
      <c r="C409" s="44" t="s">
        <v>83</v>
      </c>
      <c r="D409" s="44" t="s">
        <v>69</v>
      </c>
      <c r="E409" s="44" t="s">
        <v>5</v>
      </c>
      <c r="F409" s="44"/>
      <c r="G409" s="239">
        <f>SUM(G410,G411,G416)</f>
        <v>0</v>
      </c>
      <c r="H409" s="239"/>
      <c r="I409" s="239"/>
      <c r="J409" s="239"/>
      <c r="K409" s="239"/>
      <c r="L409" s="214">
        <f>'ИСПОЛНЕНИЕ 1 КВ.'!H410+'ИСПОЛНЕНИЕ 2 КВ. '!I419</f>
        <v>0</v>
      </c>
      <c r="M409" s="239"/>
    </row>
    <row r="410" spans="1:13" s="21" customFormat="1" ht="12.75" hidden="1">
      <c r="A410" s="16" t="s">
        <v>6</v>
      </c>
      <c r="B410" s="17" t="s">
        <v>207</v>
      </c>
      <c r="C410" s="17" t="s">
        <v>83</v>
      </c>
      <c r="D410" s="17" t="s">
        <v>69</v>
      </c>
      <c r="E410" s="17" t="s">
        <v>7</v>
      </c>
      <c r="F410" s="17"/>
      <c r="G410" s="240">
        <f>SUM(H410:H410)</f>
        <v>0</v>
      </c>
      <c r="H410" s="240"/>
      <c r="I410" s="236"/>
      <c r="J410" s="236"/>
      <c r="K410" s="236"/>
      <c r="L410" s="214">
        <f>'ИСПОЛНЕНИЕ 1 КВ.'!H411+'ИСПОЛНЕНИЕ 2 КВ. '!I420</f>
        <v>0</v>
      </c>
      <c r="M410" s="236"/>
    </row>
    <row r="411" spans="1:13" s="21" customFormat="1" ht="9.75" customHeight="1" hidden="1">
      <c r="A411" s="16" t="s">
        <v>8</v>
      </c>
      <c r="B411" s="17" t="s">
        <v>207</v>
      </c>
      <c r="C411" s="17" t="s">
        <v>83</v>
      </c>
      <c r="D411" s="17" t="s">
        <v>69</v>
      </c>
      <c r="E411" s="17" t="s">
        <v>9</v>
      </c>
      <c r="F411" s="17"/>
      <c r="G411" s="240">
        <f>SUM(G412:G415)</f>
        <v>0</v>
      </c>
      <c r="H411" s="240"/>
      <c r="I411" s="236"/>
      <c r="J411" s="236"/>
      <c r="K411" s="236"/>
      <c r="L411" s="214">
        <f>'ИСПОЛНЕНИЕ 1 КВ.'!H412+'ИСПОЛНЕНИЕ 2 КВ. '!I421</f>
        <v>0</v>
      </c>
      <c r="M411" s="236"/>
    </row>
    <row r="412" spans="1:13" s="21" customFormat="1" ht="25.5" hidden="1">
      <c r="A412" s="11" t="s">
        <v>10</v>
      </c>
      <c r="B412" s="4"/>
      <c r="C412" s="4"/>
      <c r="D412" s="4"/>
      <c r="E412" s="4"/>
      <c r="F412" s="4" t="s">
        <v>183</v>
      </c>
      <c r="G412" s="250">
        <f aca="true" t="shared" si="59" ref="G412:G418">SUM(H412:H412)</f>
        <v>0</v>
      </c>
      <c r="H412" s="250"/>
      <c r="I412" s="236"/>
      <c r="J412" s="236"/>
      <c r="K412" s="236"/>
      <c r="L412" s="214">
        <f>'ИСПОЛНЕНИЕ 1 КВ.'!H413+'ИСПОЛНЕНИЕ 2 КВ. '!I422</f>
        <v>0</v>
      </c>
      <c r="M412" s="236"/>
    </row>
    <row r="413" spans="1:13" s="21" customFormat="1" ht="12.75" customHeight="1" hidden="1">
      <c r="A413" s="12" t="s">
        <v>11</v>
      </c>
      <c r="B413" s="4"/>
      <c r="C413" s="4"/>
      <c r="D413" s="4"/>
      <c r="E413" s="4"/>
      <c r="F413" s="4" t="s">
        <v>200</v>
      </c>
      <c r="G413" s="250">
        <f t="shared" si="59"/>
        <v>0</v>
      </c>
      <c r="H413" s="250"/>
      <c r="I413" s="236"/>
      <c r="J413" s="236"/>
      <c r="K413" s="236"/>
      <c r="L413" s="214">
        <f>'ИСПОЛНЕНИЕ 1 КВ.'!H414+'ИСПОЛНЕНИЕ 2 КВ. '!I423</f>
        <v>0</v>
      </c>
      <c r="M413" s="236"/>
    </row>
    <row r="414" spans="1:13" s="30" customFormat="1" ht="12.75" hidden="1">
      <c r="A414" s="65" t="s">
        <v>130</v>
      </c>
      <c r="B414" s="29"/>
      <c r="C414" s="29"/>
      <c r="D414" s="29"/>
      <c r="E414" s="29"/>
      <c r="F414" s="29" t="s">
        <v>199</v>
      </c>
      <c r="G414" s="254">
        <f t="shared" si="59"/>
        <v>0</v>
      </c>
      <c r="H414" s="254"/>
      <c r="I414" s="254"/>
      <c r="J414" s="254"/>
      <c r="K414" s="254"/>
      <c r="L414" s="214">
        <f>'ИСПОЛНЕНИЕ 1 КВ.'!H415+'ИСПОЛНЕНИЕ 2 КВ. '!I424</f>
        <v>0</v>
      </c>
      <c r="M414" s="254"/>
    </row>
    <row r="415" spans="1:13" s="21" customFormat="1" ht="25.5" hidden="1">
      <c r="A415" s="6" t="s">
        <v>12</v>
      </c>
      <c r="B415" s="4"/>
      <c r="C415" s="4"/>
      <c r="D415" s="4"/>
      <c r="E415" s="4"/>
      <c r="F415" s="4" t="s">
        <v>184</v>
      </c>
      <c r="G415" s="250">
        <f t="shared" si="59"/>
        <v>0</v>
      </c>
      <c r="H415" s="250"/>
      <c r="I415" s="236"/>
      <c r="J415" s="236"/>
      <c r="K415" s="236"/>
      <c r="L415" s="214">
        <f>'ИСПОЛНЕНИЕ 1 КВ.'!H416+'ИСПОЛНЕНИЕ 2 КВ. '!I425</f>
        <v>0</v>
      </c>
      <c r="M415" s="236"/>
    </row>
    <row r="416" spans="1:13" s="21" customFormat="1" ht="12.75" hidden="1">
      <c r="A416" s="16" t="s">
        <v>13</v>
      </c>
      <c r="B416" s="17" t="s">
        <v>207</v>
      </c>
      <c r="C416" s="17" t="s">
        <v>83</v>
      </c>
      <c r="D416" s="17" t="s">
        <v>69</v>
      </c>
      <c r="E416" s="17" t="s">
        <v>14</v>
      </c>
      <c r="F416" s="17"/>
      <c r="G416" s="249">
        <f t="shared" si="59"/>
        <v>0</v>
      </c>
      <c r="H416" s="240"/>
      <c r="I416" s="236"/>
      <c r="J416" s="236"/>
      <c r="K416" s="236"/>
      <c r="L416" s="214">
        <f>'ИСПОЛНЕНИЕ 1 КВ.'!H417+'ИСПОЛНЕНИЕ 2 КВ. '!I426</f>
        <v>0</v>
      </c>
      <c r="M416" s="236"/>
    </row>
    <row r="417" spans="1:13" s="45" customFormat="1" ht="12.75" hidden="1">
      <c r="A417" s="43" t="s">
        <v>15</v>
      </c>
      <c r="B417" s="44" t="s">
        <v>207</v>
      </c>
      <c r="C417" s="44" t="s">
        <v>83</v>
      </c>
      <c r="D417" s="44" t="s">
        <v>69</v>
      </c>
      <c r="E417" s="44" t="s">
        <v>16</v>
      </c>
      <c r="F417" s="44"/>
      <c r="G417" s="239">
        <f t="shared" si="59"/>
        <v>0</v>
      </c>
      <c r="H417" s="239"/>
      <c r="I417" s="239"/>
      <c r="J417" s="239"/>
      <c r="K417" s="239"/>
      <c r="L417" s="214">
        <f>'ИСПОЛНЕНИЕ 1 КВ.'!H418+'ИСПОЛНЕНИЕ 2 КВ. '!I427</f>
        <v>0</v>
      </c>
      <c r="M417" s="239"/>
    </row>
    <row r="418" spans="1:13" s="21" customFormat="1" ht="12.75" hidden="1">
      <c r="A418" s="16" t="s">
        <v>17</v>
      </c>
      <c r="B418" s="17" t="s">
        <v>207</v>
      </c>
      <c r="C418" s="17" t="s">
        <v>83</v>
      </c>
      <c r="D418" s="17" t="s">
        <v>69</v>
      </c>
      <c r="E418" s="17" t="s">
        <v>18</v>
      </c>
      <c r="F418" s="17"/>
      <c r="G418" s="240">
        <f t="shared" si="59"/>
        <v>0</v>
      </c>
      <c r="H418" s="240"/>
      <c r="I418" s="236"/>
      <c r="J418" s="236"/>
      <c r="K418" s="236"/>
      <c r="L418" s="214">
        <f>'ИСПОЛНЕНИЕ 1 КВ.'!H419+'ИСПОЛНЕНИЕ 2 КВ. '!I428</f>
        <v>0</v>
      </c>
      <c r="M418" s="236"/>
    </row>
    <row r="419" spans="1:13" s="21" customFormat="1" ht="12.75" hidden="1">
      <c r="A419" s="16" t="s">
        <v>21</v>
      </c>
      <c r="B419" s="17" t="s">
        <v>207</v>
      </c>
      <c r="C419" s="17" t="s">
        <v>83</v>
      </c>
      <c r="D419" s="17" t="s">
        <v>69</v>
      </c>
      <c r="E419" s="17" t="s">
        <v>19</v>
      </c>
      <c r="F419" s="17"/>
      <c r="G419" s="240">
        <f>SUM(G420:G421)</f>
        <v>0</v>
      </c>
      <c r="H419" s="240"/>
      <c r="I419" s="236"/>
      <c r="J419" s="236"/>
      <c r="K419" s="236"/>
      <c r="L419" s="214">
        <f>'ИСПОЛНЕНИЕ 1 КВ.'!H420+'ИСПОЛНЕНИЕ 2 КВ. '!I429</f>
        <v>0</v>
      </c>
      <c r="M419" s="236"/>
    </row>
    <row r="420" spans="1:13" s="21" customFormat="1" ht="25.5" hidden="1">
      <c r="A420" s="11" t="s">
        <v>20</v>
      </c>
      <c r="B420" s="4"/>
      <c r="C420" s="4"/>
      <c r="D420" s="4"/>
      <c r="E420" s="4"/>
      <c r="F420" s="4" t="s">
        <v>183</v>
      </c>
      <c r="G420" s="250">
        <f>SUM(H420:H420)</f>
        <v>0</v>
      </c>
      <c r="H420" s="250"/>
      <c r="I420" s="236"/>
      <c r="J420" s="236"/>
      <c r="K420" s="236"/>
      <c r="L420" s="214">
        <f>'ИСПОЛНЕНИЕ 1 КВ.'!H421+'ИСПОЛНЕНИЕ 2 КВ. '!I430</f>
        <v>0</v>
      </c>
      <c r="M420" s="236"/>
    </row>
    <row r="421" spans="1:13" s="21" customFormat="1" ht="38.25" hidden="1">
      <c r="A421" s="8" t="s">
        <v>22</v>
      </c>
      <c r="B421" s="4"/>
      <c r="C421" s="4"/>
      <c r="D421" s="4"/>
      <c r="E421" s="4"/>
      <c r="F421" s="4" t="s">
        <v>185</v>
      </c>
      <c r="G421" s="250">
        <f>SUM(H421:H421)</f>
        <v>0</v>
      </c>
      <c r="H421" s="250"/>
      <c r="I421" s="236"/>
      <c r="J421" s="236"/>
      <c r="K421" s="236"/>
      <c r="L421" s="214">
        <f>'ИСПОЛНЕНИЕ 1 КВ.'!H422+'ИСПОЛНЕНИЕ 2 КВ. '!I431</f>
        <v>0</v>
      </c>
      <c r="M421" s="236"/>
    </row>
    <row r="422" spans="1:13" s="21" customFormat="1" ht="12.75" hidden="1">
      <c r="A422" s="16" t="s">
        <v>23</v>
      </c>
      <c r="B422" s="17" t="s">
        <v>207</v>
      </c>
      <c r="C422" s="17" t="s">
        <v>83</v>
      </c>
      <c r="D422" s="17" t="s">
        <v>69</v>
      </c>
      <c r="E422" s="17" t="s">
        <v>24</v>
      </c>
      <c r="F422" s="17"/>
      <c r="G422" s="240">
        <f>SUM(G423:G425)</f>
        <v>403.2</v>
      </c>
      <c r="H422" s="240"/>
      <c r="I422" s="236"/>
      <c r="J422" s="236"/>
      <c r="K422" s="236"/>
      <c r="L422" s="214">
        <f>'ИСПОЛНЕНИЕ 1 КВ.'!H423+'ИСПОЛНЕНИЕ 2 КВ. '!I432</f>
        <v>0</v>
      </c>
      <c r="M422" s="236"/>
    </row>
    <row r="423" spans="1:13" s="21" customFormat="1" ht="25.5" hidden="1">
      <c r="A423" s="7" t="s">
        <v>25</v>
      </c>
      <c r="B423" s="4"/>
      <c r="C423" s="4"/>
      <c r="D423" s="4"/>
      <c r="E423" s="4"/>
      <c r="F423" s="4" t="s">
        <v>186</v>
      </c>
      <c r="G423" s="250">
        <f>SUM(H423:H423)</f>
        <v>0</v>
      </c>
      <c r="H423" s="250"/>
      <c r="I423" s="236"/>
      <c r="J423" s="236"/>
      <c r="K423" s="236"/>
      <c r="L423" s="214">
        <f>'ИСПОЛНЕНИЕ 1 КВ.'!H424+'ИСПОЛНЕНИЕ 2 КВ. '!I433</f>
        <v>0</v>
      </c>
      <c r="M423" s="236"/>
    </row>
    <row r="424" spans="1:13" s="21" customFormat="1" ht="25.5" hidden="1">
      <c r="A424" s="7" t="s">
        <v>26</v>
      </c>
      <c r="B424" s="4"/>
      <c r="C424" s="4"/>
      <c r="D424" s="4"/>
      <c r="E424" s="4"/>
      <c r="F424" s="4" t="s">
        <v>187</v>
      </c>
      <c r="G424" s="250">
        <f>SUM(H424:H424)</f>
        <v>403.2</v>
      </c>
      <c r="H424" s="250">
        <v>403.2</v>
      </c>
      <c r="I424" s="236"/>
      <c r="J424" s="236"/>
      <c r="K424" s="236"/>
      <c r="L424" s="214">
        <f>'ИСПОЛНЕНИЕ 1 КВ.'!H425+'ИСПОЛНЕНИЕ 2 КВ. '!I434</f>
        <v>0</v>
      </c>
      <c r="M424" s="236"/>
    </row>
    <row r="425" spans="1:13" s="21" customFormat="1" ht="9" customHeight="1" hidden="1">
      <c r="A425" s="7" t="s">
        <v>27</v>
      </c>
      <c r="B425" s="4"/>
      <c r="C425" s="4"/>
      <c r="D425" s="4"/>
      <c r="E425" s="4"/>
      <c r="F425" s="4" t="s">
        <v>188</v>
      </c>
      <c r="G425" s="250">
        <f>SUM(H425:H425)</f>
        <v>0</v>
      </c>
      <c r="H425" s="250"/>
      <c r="I425" s="236"/>
      <c r="J425" s="236"/>
      <c r="K425" s="236"/>
      <c r="L425" s="214">
        <f>'ИСПОЛНЕНИЕ 1 КВ.'!H426+'ИСПОЛНЕНИЕ 2 КВ. '!I435</f>
        <v>0</v>
      </c>
      <c r="M425" s="236"/>
    </row>
    <row r="426" spans="1:13" s="21" customFormat="1" ht="13.5" customHeight="1" hidden="1">
      <c r="A426" s="16" t="s">
        <v>28</v>
      </c>
      <c r="B426" s="17" t="s">
        <v>207</v>
      </c>
      <c r="C426" s="17" t="s">
        <v>83</v>
      </c>
      <c r="D426" s="17" t="s">
        <v>69</v>
      </c>
      <c r="E426" s="17" t="s">
        <v>29</v>
      </c>
      <c r="F426" s="17"/>
      <c r="G426" s="250">
        <f>SUM(H426:H426)</f>
        <v>0</v>
      </c>
      <c r="H426" s="240"/>
      <c r="I426" s="236"/>
      <c r="J426" s="236"/>
      <c r="K426" s="236"/>
      <c r="L426" s="214">
        <f>'ИСПОЛНЕНИЕ 1 КВ.'!H427+'ИСПОЛНЕНИЕ 2 КВ. '!I436</f>
        <v>0</v>
      </c>
      <c r="M426" s="236"/>
    </row>
    <row r="427" spans="1:13" s="21" customFormat="1" ht="12.75" hidden="1">
      <c r="A427" s="16" t="s">
        <v>30</v>
      </c>
      <c r="B427" s="17" t="s">
        <v>207</v>
      </c>
      <c r="C427" s="17" t="s">
        <v>83</v>
      </c>
      <c r="D427" s="17" t="s">
        <v>69</v>
      </c>
      <c r="E427" s="17" t="s">
        <v>31</v>
      </c>
      <c r="F427" s="17"/>
      <c r="G427" s="240">
        <f>SUM(G428:G432)</f>
        <v>0</v>
      </c>
      <c r="H427" s="240"/>
      <c r="I427" s="236"/>
      <c r="J427" s="236"/>
      <c r="K427" s="236"/>
      <c r="L427" s="214">
        <f>'ИСПОЛНЕНИЕ 1 КВ.'!H428+'ИСПОЛНЕНИЕ 2 КВ. '!I437</f>
        <v>0</v>
      </c>
      <c r="M427" s="236"/>
    </row>
    <row r="428" spans="1:13" s="21" customFormat="1" ht="12.75" hidden="1">
      <c r="A428" s="7" t="s">
        <v>32</v>
      </c>
      <c r="B428" s="17"/>
      <c r="C428" s="17"/>
      <c r="D428" s="17"/>
      <c r="E428" s="17"/>
      <c r="F428" s="17" t="s">
        <v>189</v>
      </c>
      <c r="G428" s="240">
        <f>SUM(H428:H428)</f>
        <v>0</v>
      </c>
      <c r="H428" s="240"/>
      <c r="I428" s="236"/>
      <c r="J428" s="236"/>
      <c r="K428" s="236"/>
      <c r="L428" s="214">
        <f>'ИСПОЛНЕНИЕ 1 КВ.'!H429+'ИСПОЛНЕНИЕ 2 КВ. '!I438</f>
        <v>0</v>
      </c>
      <c r="M428" s="236"/>
    </row>
    <row r="429" spans="1:13" s="21" customFormat="1" ht="12.75" hidden="1">
      <c r="A429" s="7" t="s">
        <v>33</v>
      </c>
      <c r="B429" s="17"/>
      <c r="C429" s="17"/>
      <c r="D429" s="17"/>
      <c r="E429" s="17"/>
      <c r="F429" s="17" t="s">
        <v>191</v>
      </c>
      <c r="G429" s="240">
        <f>SUM(H429:H429)</f>
        <v>0</v>
      </c>
      <c r="H429" s="240"/>
      <c r="I429" s="236"/>
      <c r="J429" s="236"/>
      <c r="K429" s="236"/>
      <c r="L429" s="214">
        <f>'ИСПОЛНЕНИЕ 1 КВ.'!H430+'ИСПОЛНЕНИЕ 2 КВ. '!I439</f>
        <v>0</v>
      </c>
      <c r="M429" s="236"/>
    </row>
    <row r="430" spans="1:13" s="21" customFormat="1" ht="25.5" hidden="1">
      <c r="A430" s="7" t="s">
        <v>34</v>
      </c>
      <c r="B430" s="17"/>
      <c r="C430" s="17"/>
      <c r="D430" s="17"/>
      <c r="E430" s="17"/>
      <c r="F430" s="17" t="s">
        <v>221</v>
      </c>
      <c r="G430" s="240">
        <f>SUM(H430:H430)</f>
        <v>0</v>
      </c>
      <c r="H430" s="240"/>
      <c r="I430" s="236"/>
      <c r="J430" s="236"/>
      <c r="K430" s="236"/>
      <c r="L430" s="214">
        <f>'ИСПОЛНЕНИЕ 1 КВ.'!H431+'ИСПОЛНЕНИЕ 2 КВ. '!I440</f>
        <v>0</v>
      </c>
      <c r="M430" s="236"/>
    </row>
    <row r="431" spans="1:13" s="21" customFormat="1" ht="25.5" hidden="1">
      <c r="A431" s="7" t="s">
        <v>35</v>
      </c>
      <c r="B431" s="17"/>
      <c r="C431" s="17"/>
      <c r="D431" s="17"/>
      <c r="E431" s="17"/>
      <c r="F431" s="17" t="s">
        <v>190</v>
      </c>
      <c r="G431" s="240">
        <f>SUM(H431:H431)</f>
        <v>0</v>
      </c>
      <c r="H431" s="240"/>
      <c r="I431" s="236"/>
      <c r="J431" s="236"/>
      <c r="K431" s="236"/>
      <c r="L431" s="214">
        <f>'ИСПОЛНЕНИЕ 1 КВ.'!H432+'ИСПОЛНЕНИЕ 2 КВ. '!I441</f>
        <v>0</v>
      </c>
      <c r="M431" s="236"/>
    </row>
    <row r="432" spans="1:13" s="21" customFormat="1" ht="51" hidden="1">
      <c r="A432" s="7" t="s">
        <v>36</v>
      </c>
      <c r="B432" s="17"/>
      <c r="C432" s="17"/>
      <c r="D432" s="17"/>
      <c r="E432" s="17"/>
      <c r="F432" s="17" t="s">
        <v>190</v>
      </c>
      <c r="G432" s="240">
        <f>SUM(H432:H432)</f>
        <v>0</v>
      </c>
      <c r="H432" s="240"/>
      <c r="I432" s="236"/>
      <c r="J432" s="236"/>
      <c r="K432" s="236"/>
      <c r="L432" s="214">
        <f>'ИСПОЛНЕНИЕ 1 КВ.'!H433+'ИСПОЛНЕНИЕ 2 КВ. '!I442</f>
        <v>0</v>
      </c>
      <c r="M432" s="236"/>
    </row>
    <row r="433" spans="1:13" s="21" customFormat="1" ht="12.75" hidden="1">
      <c r="A433" s="16" t="s">
        <v>37</v>
      </c>
      <c r="B433" s="17" t="s">
        <v>207</v>
      </c>
      <c r="C433" s="17" t="s">
        <v>83</v>
      </c>
      <c r="D433" s="17" t="s">
        <v>69</v>
      </c>
      <c r="E433" s="17" t="s">
        <v>38</v>
      </c>
      <c r="F433" s="17"/>
      <c r="G433" s="240">
        <f>SUM(G434:G436)</f>
        <v>247.4</v>
      </c>
      <c r="H433" s="240">
        <f>SUM(H434:H436)</f>
        <v>247.4</v>
      </c>
      <c r="I433" s="236"/>
      <c r="J433" s="236"/>
      <c r="K433" s="236"/>
      <c r="L433" s="214">
        <f>'ИСПОЛНЕНИЕ 1 КВ.'!H434+'ИСПОЛНЕНИЕ 2 КВ. '!I443</f>
        <v>0</v>
      </c>
      <c r="M433" s="236"/>
    </row>
    <row r="434" spans="1:13" s="21" customFormat="1" ht="36" customHeight="1" hidden="1">
      <c r="A434" s="11" t="s">
        <v>39</v>
      </c>
      <c r="B434" s="20"/>
      <c r="C434" s="20"/>
      <c r="D434" s="20"/>
      <c r="E434" s="20"/>
      <c r="F434" s="20" t="s">
        <v>183</v>
      </c>
      <c r="G434" s="236">
        <f>SUM(H434:H434)</f>
        <v>27.1</v>
      </c>
      <c r="H434" s="236">
        <v>27.1</v>
      </c>
      <c r="I434" s="236"/>
      <c r="J434" s="236"/>
      <c r="K434" s="236"/>
      <c r="L434" s="214">
        <f>'ИСПОЛНЕНИЕ 1 КВ.'!H435+'ИСПОЛНЕНИЕ 2 КВ. '!I444</f>
        <v>0</v>
      </c>
      <c r="M434" s="236"/>
    </row>
    <row r="435" spans="1:13" s="21" customFormat="1" ht="38.25" hidden="1">
      <c r="A435" s="19" t="s">
        <v>40</v>
      </c>
      <c r="B435" s="20"/>
      <c r="C435" s="20"/>
      <c r="D435" s="20"/>
      <c r="E435" s="20"/>
      <c r="F435" s="20" t="s">
        <v>222</v>
      </c>
      <c r="G435" s="236">
        <f>SUM(H435:H435)</f>
        <v>0</v>
      </c>
      <c r="H435" s="236"/>
      <c r="I435" s="236"/>
      <c r="J435" s="236"/>
      <c r="K435" s="236"/>
      <c r="L435" s="214">
        <f>'ИСПОЛНЕНИЕ 1 КВ.'!H436+'ИСПОЛНЕНИЕ 2 КВ. '!I445</f>
        <v>0</v>
      </c>
      <c r="M435" s="236"/>
    </row>
    <row r="436" spans="1:13" s="21" customFormat="1" ht="26.25" customHeight="1" hidden="1">
      <c r="A436" s="12" t="s">
        <v>41</v>
      </c>
      <c r="B436" s="20"/>
      <c r="C436" s="20"/>
      <c r="D436" s="20"/>
      <c r="E436" s="20"/>
      <c r="F436" s="20" t="s">
        <v>192</v>
      </c>
      <c r="G436" s="236">
        <f>SUM(H436:H436)</f>
        <v>220.3</v>
      </c>
      <c r="H436" s="236">
        <v>220.3</v>
      </c>
      <c r="I436" s="236"/>
      <c r="J436" s="236"/>
      <c r="K436" s="236"/>
      <c r="L436" s="214">
        <f>'ИСПОЛНЕНИЕ 1 КВ.'!H437+'ИСПОЛНЕНИЕ 2 КВ. '!I446</f>
        <v>0</v>
      </c>
      <c r="M436" s="236"/>
    </row>
    <row r="437" spans="1:13" s="45" customFormat="1" ht="12.75" hidden="1">
      <c r="A437" s="43" t="s">
        <v>42</v>
      </c>
      <c r="B437" s="44" t="s">
        <v>207</v>
      </c>
      <c r="C437" s="44" t="s">
        <v>83</v>
      </c>
      <c r="D437" s="44" t="s">
        <v>69</v>
      </c>
      <c r="E437" s="44" t="s">
        <v>43</v>
      </c>
      <c r="F437" s="44"/>
      <c r="G437" s="239">
        <f>SUM(G438)</f>
        <v>176.8</v>
      </c>
      <c r="H437" s="239">
        <f>SUM(H438)</f>
        <v>176.8</v>
      </c>
      <c r="I437" s="239"/>
      <c r="J437" s="239"/>
      <c r="K437" s="239"/>
      <c r="L437" s="214">
        <f>'ИСПОЛНЕНИЕ 1 КВ.'!H438+'ИСПОЛНЕНИЕ 2 КВ. '!I447</f>
        <v>0</v>
      </c>
      <c r="M437" s="239"/>
    </row>
    <row r="438" spans="1:13" s="21" customFormat="1" ht="12.75" hidden="1">
      <c r="A438" s="16" t="s">
        <v>44</v>
      </c>
      <c r="B438" s="17" t="s">
        <v>207</v>
      </c>
      <c r="C438" s="17" t="s">
        <v>83</v>
      </c>
      <c r="D438" s="17" t="s">
        <v>69</v>
      </c>
      <c r="E438" s="17" t="s">
        <v>45</v>
      </c>
      <c r="F438" s="17"/>
      <c r="G438" s="240">
        <f aca="true" t="shared" si="60" ref="G438:G443">SUM(H438:H438)</f>
        <v>176.8</v>
      </c>
      <c r="H438" s="240">
        <f>SUM(H439)</f>
        <v>176.8</v>
      </c>
      <c r="I438" s="236"/>
      <c r="J438" s="236"/>
      <c r="K438" s="236"/>
      <c r="L438" s="214">
        <f>'ИСПОЛНЕНИЕ 1 КВ.'!H439+'ИСПОЛНЕНИЕ 2 КВ. '!I448</f>
        <v>0</v>
      </c>
      <c r="M438" s="236"/>
    </row>
    <row r="439" spans="1:13" s="21" customFormat="1" ht="12.75" hidden="1">
      <c r="A439" s="6" t="s">
        <v>46</v>
      </c>
      <c r="B439" s="20"/>
      <c r="C439" s="20"/>
      <c r="D439" s="20"/>
      <c r="E439" s="20"/>
      <c r="F439" s="20"/>
      <c r="G439" s="236">
        <f t="shared" si="60"/>
        <v>176.8</v>
      </c>
      <c r="H439" s="236">
        <f>SUM(H440:H440)</f>
        <v>176.8</v>
      </c>
      <c r="I439" s="236"/>
      <c r="J439" s="236"/>
      <c r="K439" s="236"/>
      <c r="L439" s="214">
        <f>'ИСПОЛНЕНИЕ 1 КВ.'!H440+'ИСПОЛНЕНИЕ 2 КВ. '!I449</f>
        <v>0</v>
      </c>
      <c r="M439" s="236"/>
    </row>
    <row r="440" spans="1:13" s="21" customFormat="1" ht="12.75" hidden="1">
      <c r="A440" s="64" t="s">
        <v>129</v>
      </c>
      <c r="B440" s="20"/>
      <c r="C440" s="20"/>
      <c r="D440" s="20"/>
      <c r="E440" s="20"/>
      <c r="F440" s="20" t="s">
        <v>209</v>
      </c>
      <c r="G440" s="240">
        <f t="shared" si="60"/>
        <v>176.8</v>
      </c>
      <c r="H440" s="236">
        <v>176.8</v>
      </c>
      <c r="I440" s="236"/>
      <c r="J440" s="236"/>
      <c r="K440" s="236"/>
      <c r="L440" s="214">
        <f>'ИСПОЛНЕНИЕ 1 КВ.'!H441+'ИСПОЛНЕНИЕ 2 КВ. '!I450</f>
        <v>0</v>
      </c>
      <c r="M440" s="236"/>
    </row>
    <row r="441" spans="1:13" s="45" customFormat="1" ht="12.75" hidden="1">
      <c r="A441" s="43" t="s">
        <v>47</v>
      </c>
      <c r="B441" s="44" t="s">
        <v>207</v>
      </c>
      <c r="C441" s="44" t="s">
        <v>83</v>
      </c>
      <c r="D441" s="44" t="s">
        <v>69</v>
      </c>
      <c r="E441" s="44" t="s">
        <v>48</v>
      </c>
      <c r="F441" s="44"/>
      <c r="G441" s="239">
        <f t="shared" si="60"/>
        <v>123.3</v>
      </c>
      <c r="H441" s="239">
        <f>SUM(H442)</f>
        <v>123.3</v>
      </c>
      <c r="I441" s="239"/>
      <c r="J441" s="239"/>
      <c r="K441" s="239"/>
      <c r="L441" s="214">
        <f>'ИСПОЛНЕНИЕ 1 КВ.'!H442+'ИСПОЛНЕНИЕ 2 КВ. '!I451</f>
        <v>0</v>
      </c>
      <c r="M441" s="239"/>
    </row>
    <row r="442" spans="1:13" s="21" customFormat="1" ht="25.5" customHeight="1" hidden="1">
      <c r="A442" s="12" t="s">
        <v>41</v>
      </c>
      <c r="B442" s="20"/>
      <c r="C442" s="20"/>
      <c r="D442" s="20"/>
      <c r="E442" s="20"/>
      <c r="F442" s="20"/>
      <c r="G442" s="236">
        <f t="shared" si="60"/>
        <v>123.3</v>
      </c>
      <c r="H442" s="236">
        <f>96.8+26.5</f>
        <v>123.3</v>
      </c>
      <c r="I442" s="236"/>
      <c r="J442" s="236"/>
      <c r="K442" s="236"/>
      <c r="L442" s="214">
        <f>'ИСПОЛНЕНИЕ 1 КВ.'!H443+'ИСПОЛНЕНИЕ 2 КВ. '!I452</f>
        <v>0</v>
      </c>
      <c r="M442" s="236"/>
    </row>
    <row r="443" spans="1:13" s="45" customFormat="1" ht="12.75" hidden="1">
      <c r="A443" s="43" t="s">
        <v>49</v>
      </c>
      <c r="B443" s="44" t="s">
        <v>207</v>
      </c>
      <c r="C443" s="44" t="s">
        <v>83</v>
      </c>
      <c r="D443" s="44" t="s">
        <v>69</v>
      </c>
      <c r="E443" s="44" t="s">
        <v>50</v>
      </c>
      <c r="F443" s="44"/>
      <c r="G443" s="239">
        <f t="shared" si="60"/>
        <v>79</v>
      </c>
      <c r="H443" s="239">
        <f>SUM(H444,H448)</f>
        <v>79</v>
      </c>
      <c r="I443" s="239"/>
      <c r="J443" s="239"/>
      <c r="K443" s="239"/>
      <c r="L443" s="214">
        <f>'ИСПОЛНЕНИЕ 1 КВ.'!H444+'ИСПОЛНЕНИЕ 2 КВ. '!I453</f>
        <v>0</v>
      </c>
      <c r="M443" s="239"/>
    </row>
    <row r="444" spans="1:13" s="21" customFormat="1" ht="12.75" hidden="1">
      <c r="A444" s="16" t="s">
        <v>51</v>
      </c>
      <c r="B444" s="17" t="s">
        <v>207</v>
      </c>
      <c r="C444" s="17" t="s">
        <v>83</v>
      </c>
      <c r="D444" s="17" t="s">
        <v>69</v>
      </c>
      <c r="E444" s="17" t="s">
        <v>52</v>
      </c>
      <c r="F444" s="17"/>
      <c r="G444" s="240">
        <f>SUM(G445:G447)</f>
        <v>0</v>
      </c>
      <c r="H444" s="240">
        <f>SUM(H445:H447)</f>
        <v>0</v>
      </c>
      <c r="I444" s="236"/>
      <c r="J444" s="236"/>
      <c r="K444" s="236"/>
      <c r="L444" s="214">
        <f>'ИСПОЛНЕНИЕ 1 КВ.'!H445+'ИСПОЛНЕНИЕ 2 КВ. '!I454</f>
        <v>0</v>
      </c>
      <c r="M444" s="236"/>
    </row>
    <row r="445" spans="1:13" s="21" customFormat="1" ht="12.75" hidden="1">
      <c r="A445" s="7" t="s">
        <v>53</v>
      </c>
      <c r="B445" s="20"/>
      <c r="C445" s="20"/>
      <c r="D445" s="20"/>
      <c r="E445" s="20"/>
      <c r="F445" s="20" t="s">
        <v>223</v>
      </c>
      <c r="G445" s="236">
        <f aca="true" t="shared" si="61" ref="G445:G452">SUM(H445:H445)</f>
        <v>0</v>
      </c>
      <c r="H445" s="236"/>
      <c r="I445" s="236"/>
      <c r="J445" s="236"/>
      <c r="K445" s="236"/>
      <c r="L445" s="214">
        <f>'ИСПОЛНЕНИЕ 1 КВ.'!H446+'ИСПОЛНЕНИЕ 2 КВ. '!I455</f>
        <v>0</v>
      </c>
      <c r="M445" s="236"/>
    </row>
    <row r="446" spans="1:13" s="21" customFormat="1" ht="51" hidden="1">
      <c r="A446" s="7" t="s">
        <v>54</v>
      </c>
      <c r="B446" s="20"/>
      <c r="C446" s="20"/>
      <c r="D446" s="20"/>
      <c r="E446" s="20"/>
      <c r="F446" s="20" t="s">
        <v>194</v>
      </c>
      <c r="G446" s="236">
        <f t="shared" si="61"/>
        <v>0</v>
      </c>
      <c r="H446" s="236"/>
      <c r="I446" s="236"/>
      <c r="J446" s="236"/>
      <c r="K446" s="236"/>
      <c r="L446" s="214">
        <f>'ИСПОЛНЕНИЕ 1 КВ.'!H447+'ИСПОЛНЕНИЕ 2 КВ. '!I456</f>
        <v>0</v>
      </c>
      <c r="M446" s="236"/>
    </row>
    <row r="447" spans="1:13" s="21" customFormat="1" ht="50.25" customHeight="1" hidden="1">
      <c r="A447" s="7" t="s">
        <v>55</v>
      </c>
      <c r="B447" s="20"/>
      <c r="C447" s="20"/>
      <c r="D447" s="20"/>
      <c r="E447" s="20"/>
      <c r="F447" s="20" t="s">
        <v>193</v>
      </c>
      <c r="G447" s="236">
        <f t="shared" si="61"/>
        <v>0</v>
      </c>
      <c r="H447" s="236"/>
      <c r="I447" s="236"/>
      <c r="J447" s="236"/>
      <c r="K447" s="236"/>
      <c r="L447" s="214">
        <f>'ИСПОЛНЕНИЕ 1 КВ.'!H448+'ИСПОЛНЕНИЕ 2 КВ. '!I457</f>
        <v>0</v>
      </c>
      <c r="M447" s="236"/>
    </row>
    <row r="448" spans="1:13" s="21" customFormat="1" ht="16.5" customHeight="1" hidden="1">
      <c r="A448" s="16" t="s">
        <v>56</v>
      </c>
      <c r="B448" s="17" t="s">
        <v>207</v>
      </c>
      <c r="C448" s="17" t="s">
        <v>83</v>
      </c>
      <c r="D448" s="17" t="s">
        <v>69</v>
      </c>
      <c r="E448" s="17" t="s">
        <v>57</v>
      </c>
      <c r="F448" s="17"/>
      <c r="G448" s="236">
        <f t="shared" si="61"/>
        <v>79</v>
      </c>
      <c r="H448" s="240">
        <f>SUM(H449:H452)</f>
        <v>79</v>
      </c>
      <c r="I448" s="236"/>
      <c r="J448" s="236"/>
      <c r="K448" s="236"/>
      <c r="L448" s="214">
        <f>'ИСПОЛНЕНИЕ 1 КВ.'!H449+'ИСПОЛНЕНИЕ 2 КВ. '!I458</f>
        <v>0</v>
      </c>
      <c r="M448" s="236"/>
    </row>
    <row r="449" spans="1:13" s="21" customFormat="1" ht="25.5" hidden="1">
      <c r="A449" s="7" t="s">
        <v>58</v>
      </c>
      <c r="B449" s="20"/>
      <c r="C449" s="20"/>
      <c r="D449" s="20"/>
      <c r="E449" s="20"/>
      <c r="F449" s="20" t="s">
        <v>195</v>
      </c>
      <c r="G449" s="236">
        <f t="shared" si="61"/>
        <v>28.8</v>
      </c>
      <c r="H449" s="236">
        <v>28.8</v>
      </c>
      <c r="I449" s="236"/>
      <c r="J449" s="236"/>
      <c r="K449" s="236"/>
      <c r="L449" s="214">
        <f>'ИСПОЛНЕНИЕ 1 КВ.'!H450+'ИСПОЛНЕНИЕ 2 КВ. '!I459</f>
        <v>0</v>
      </c>
      <c r="M449" s="236"/>
    </row>
    <row r="450" spans="1:13" s="21" customFormat="1" ht="10.5" customHeight="1" hidden="1">
      <c r="A450" s="7" t="s">
        <v>59</v>
      </c>
      <c r="B450" s="20"/>
      <c r="C450" s="20"/>
      <c r="D450" s="20"/>
      <c r="E450" s="20"/>
      <c r="F450" s="20" t="s">
        <v>196</v>
      </c>
      <c r="G450" s="236">
        <f t="shared" si="61"/>
        <v>0</v>
      </c>
      <c r="H450" s="236"/>
      <c r="I450" s="236"/>
      <c r="J450" s="236"/>
      <c r="K450" s="236"/>
      <c r="L450" s="214">
        <f>'ИСПОЛНЕНИЕ 1 КВ.'!H451+'ИСПОЛНЕНИЕ 2 КВ. '!I460</f>
        <v>0</v>
      </c>
      <c r="M450" s="236"/>
    </row>
    <row r="451" spans="1:13" s="21" customFormat="1" ht="12.75" hidden="1">
      <c r="A451" s="7" t="s">
        <v>60</v>
      </c>
      <c r="B451" s="20"/>
      <c r="C451" s="20"/>
      <c r="D451" s="20"/>
      <c r="E451" s="20"/>
      <c r="F451" s="20" t="s">
        <v>197</v>
      </c>
      <c r="G451" s="236">
        <f t="shared" si="61"/>
        <v>39.2</v>
      </c>
      <c r="H451" s="236">
        <v>39.2</v>
      </c>
      <c r="I451" s="236"/>
      <c r="J451" s="236"/>
      <c r="K451" s="236"/>
      <c r="L451" s="214">
        <f>'ИСПОЛНЕНИЕ 1 КВ.'!H452+'ИСПОЛНЕНИЕ 2 КВ. '!I461</f>
        <v>0</v>
      </c>
      <c r="M451" s="236"/>
    </row>
    <row r="452" spans="1:13" s="21" customFormat="1" ht="38.25" hidden="1">
      <c r="A452" s="7" t="s">
        <v>61</v>
      </c>
      <c r="B452" s="20"/>
      <c r="C452" s="20"/>
      <c r="D452" s="20"/>
      <c r="E452" s="20"/>
      <c r="F452" s="20" t="s">
        <v>198</v>
      </c>
      <c r="G452" s="236">
        <f t="shared" si="61"/>
        <v>11</v>
      </c>
      <c r="H452" s="236">
        <v>11</v>
      </c>
      <c r="I452" s="236"/>
      <c r="J452" s="236"/>
      <c r="K452" s="236"/>
      <c r="L452" s="214">
        <f>'ИСПОЛНЕНИЕ 1 КВ.'!H453+'ИСПОЛНЕНИЕ 2 КВ. '!I462</f>
        <v>0</v>
      </c>
      <c r="M452" s="236"/>
    </row>
    <row r="453" spans="1:13" s="21" customFormat="1" ht="12.75" hidden="1">
      <c r="A453" s="23" t="s">
        <v>71</v>
      </c>
      <c r="B453" s="24" t="s">
        <v>158</v>
      </c>
      <c r="C453" s="24" t="s">
        <v>141</v>
      </c>
      <c r="D453" s="24" t="s">
        <v>69</v>
      </c>
      <c r="E453" s="24"/>
      <c r="F453" s="24"/>
      <c r="G453" s="253"/>
      <c r="H453" s="253"/>
      <c r="I453" s="236"/>
      <c r="J453" s="236"/>
      <c r="K453" s="236"/>
      <c r="L453" s="214">
        <f>'ИСПОЛНЕНИЕ 1 КВ.'!H454+'ИСПОЛНЕНИЕ 2 КВ. '!I463</f>
        <v>0</v>
      </c>
      <c r="M453" s="236"/>
    </row>
    <row r="454" spans="1:13" s="45" customFormat="1" ht="12.75" customHeight="1" hidden="1">
      <c r="A454" s="43" t="s">
        <v>4</v>
      </c>
      <c r="B454" s="44" t="s">
        <v>158</v>
      </c>
      <c r="C454" s="44" t="s">
        <v>141</v>
      </c>
      <c r="D454" s="44" t="s">
        <v>69</v>
      </c>
      <c r="E454" s="44" t="s">
        <v>5</v>
      </c>
      <c r="F454" s="44"/>
      <c r="G454" s="239"/>
      <c r="H454" s="239"/>
      <c r="I454" s="239"/>
      <c r="J454" s="239"/>
      <c r="K454" s="239"/>
      <c r="L454" s="214">
        <f>'ИСПОЛНЕНИЕ 1 КВ.'!H455+'ИСПОЛНЕНИЕ 2 КВ. '!I464</f>
        <v>0</v>
      </c>
      <c r="M454" s="239"/>
    </row>
    <row r="455" spans="1:13" s="21" customFormat="1" ht="12.75" hidden="1">
      <c r="A455" s="16" t="s">
        <v>6</v>
      </c>
      <c r="B455" s="17" t="s">
        <v>207</v>
      </c>
      <c r="C455" s="17" t="s">
        <v>141</v>
      </c>
      <c r="D455" s="17" t="s">
        <v>69</v>
      </c>
      <c r="E455" s="17" t="s">
        <v>7</v>
      </c>
      <c r="F455" s="17"/>
      <c r="G455" s="240"/>
      <c r="H455" s="240"/>
      <c r="I455" s="236"/>
      <c r="J455" s="236"/>
      <c r="K455" s="236"/>
      <c r="L455" s="214">
        <f>'ИСПОЛНЕНИЕ 1 КВ.'!H456+'ИСПОЛНЕНИЕ 2 КВ. '!I465</f>
        <v>0</v>
      </c>
      <c r="M455" s="236"/>
    </row>
    <row r="456" spans="1:13" s="21" customFormat="1" ht="12.75" hidden="1">
      <c r="A456" s="16" t="s">
        <v>8</v>
      </c>
      <c r="B456" s="17" t="s">
        <v>207</v>
      </c>
      <c r="C456" s="17" t="s">
        <v>141</v>
      </c>
      <c r="D456" s="17" t="s">
        <v>69</v>
      </c>
      <c r="E456" s="17" t="s">
        <v>9</v>
      </c>
      <c r="F456" s="17"/>
      <c r="G456" s="240"/>
      <c r="H456" s="240"/>
      <c r="I456" s="236"/>
      <c r="J456" s="236"/>
      <c r="K456" s="236"/>
      <c r="L456" s="214">
        <f>'ИСПОЛНЕНИЕ 1 КВ.'!H457+'ИСПОЛНЕНИЕ 2 КВ. '!I466</f>
        <v>0</v>
      </c>
      <c r="M456" s="236"/>
    </row>
    <row r="457" spans="1:13" s="21" customFormat="1" ht="25.5" hidden="1">
      <c r="A457" s="11" t="s">
        <v>10</v>
      </c>
      <c r="B457" s="4"/>
      <c r="C457" s="4"/>
      <c r="D457" s="4"/>
      <c r="E457" s="4"/>
      <c r="F457" s="4" t="s">
        <v>183</v>
      </c>
      <c r="G457" s="250"/>
      <c r="H457" s="250"/>
      <c r="I457" s="236"/>
      <c r="J457" s="236"/>
      <c r="K457" s="236"/>
      <c r="L457" s="214">
        <f>'ИСПОЛНЕНИЕ 1 КВ.'!H458+'ИСПОЛНЕНИЕ 2 КВ. '!I467</f>
        <v>0</v>
      </c>
      <c r="M457" s="236"/>
    </row>
    <row r="458" spans="1:13" s="21" customFormat="1" ht="15.75" customHeight="1" hidden="1">
      <c r="A458" s="12" t="s">
        <v>11</v>
      </c>
      <c r="B458" s="4"/>
      <c r="C458" s="4"/>
      <c r="D458" s="4"/>
      <c r="E458" s="4"/>
      <c r="F458" s="4" t="s">
        <v>200</v>
      </c>
      <c r="G458" s="250"/>
      <c r="H458" s="250"/>
      <c r="I458" s="236"/>
      <c r="J458" s="236"/>
      <c r="K458" s="236"/>
      <c r="L458" s="214">
        <f>'ИСПОЛНЕНИЕ 1 КВ.'!H459+'ИСПОЛНЕНИЕ 2 КВ. '!I468</f>
        <v>0</v>
      </c>
      <c r="M458" s="236"/>
    </row>
    <row r="459" spans="1:13" s="30" customFormat="1" ht="12.75" hidden="1">
      <c r="A459" s="65" t="s">
        <v>130</v>
      </c>
      <c r="B459" s="29"/>
      <c r="C459" s="29"/>
      <c r="D459" s="29"/>
      <c r="E459" s="29"/>
      <c r="F459" s="29" t="s">
        <v>199</v>
      </c>
      <c r="G459" s="254"/>
      <c r="H459" s="254"/>
      <c r="I459" s="254"/>
      <c r="J459" s="254"/>
      <c r="K459" s="254"/>
      <c r="L459" s="214">
        <f>'ИСПОЛНЕНИЕ 1 КВ.'!H460+'ИСПОЛНЕНИЕ 2 КВ. '!I469</f>
        <v>0</v>
      </c>
      <c r="M459" s="254"/>
    </row>
    <row r="460" spans="1:13" s="21" customFormat="1" ht="25.5" hidden="1">
      <c r="A460" s="6" t="s">
        <v>12</v>
      </c>
      <c r="B460" s="4"/>
      <c r="C460" s="4"/>
      <c r="D460" s="4"/>
      <c r="E460" s="4"/>
      <c r="F460" s="4" t="s">
        <v>184</v>
      </c>
      <c r="G460" s="250"/>
      <c r="H460" s="250"/>
      <c r="I460" s="236"/>
      <c r="J460" s="236"/>
      <c r="K460" s="236"/>
      <c r="L460" s="214">
        <f>'ИСПОЛНЕНИЕ 1 КВ.'!H461+'ИСПОЛНЕНИЕ 2 КВ. '!I470</f>
        <v>0</v>
      </c>
      <c r="M460" s="236"/>
    </row>
    <row r="461" spans="1:13" s="21" customFormat="1" ht="12.75" hidden="1">
      <c r="A461" s="16" t="s">
        <v>13</v>
      </c>
      <c r="B461" s="17" t="s">
        <v>207</v>
      </c>
      <c r="C461" s="17" t="s">
        <v>141</v>
      </c>
      <c r="D461" s="17" t="s">
        <v>69</v>
      </c>
      <c r="E461" s="17" t="s">
        <v>14</v>
      </c>
      <c r="F461" s="17"/>
      <c r="G461" s="249"/>
      <c r="H461" s="240"/>
      <c r="I461" s="236"/>
      <c r="J461" s="236"/>
      <c r="K461" s="236"/>
      <c r="L461" s="214">
        <f>'ИСПОЛНЕНИЕ 1 КВ.'!H462+'ИСПОЛНЕНИЕ 2 КВ. '!I471</f>
        <v>0</v>
      </c>
      <c r="M461" s="236"/>
    </row>
    <row r="462" spans="1:13" s="45" customFormat="1" ht="12.75" hidden="1">
      <c r="A462" s="43" t="s">
        <v>15</v>
      </c>
      <c r="B462" s="44" t="s">
        <v>207</v>
      </c>
      <c r="C462" s="44" t="s">
        <v>141</v>
      </c>
      <c r="D462" s="44" t="s">
        <v>69</v>
      </c>
      <c r="E462" s="44" t="s">
        <v>16</v>
      </c>
      <c r="F462" s="44"/>
      <c r="G462" s="239"/>
      <c r="H462" s="239"/>
      <c r="I462" s="239"/>
      <c r="J462" s="239"/>
      <c r="K462" s="239"/>
      <c r="L462" s="214">
        <f>'ИСПОЛНЕНИЕ 1 КВ.'!H463+'ИСПОЛНЕНИЕ 2 КВ. '!I472</f>
        <v>0</v>
      </c>
      <c r="M462" s="239"/>
    </row>
    <row r="463" spans="1:13" s="21" customFormat="1" ht="12.75" hidden="1">
      <c r="A463" s="16" t="s">
        <v>17</v>
      </c>
      <c r="B463" s="17" t="s">
        <v>207</v>
      </c>
      <c r="C463" s="17" t="s">
        <v>141</v>
      </c>
      <c r="D463" s="17" t="s">
        <v>69</v>
      </c>
      <c r="E463" s="17" t="s">
        <v>18</v>
      </c>
      <c r="F463" s="17"/>
      <c r="G463" s="240"/>
      <c r="H463" s="240"/>
      <c r="I463" s="236"/>
      <c r="J463" s="236"/>
      <c r="K463" s="236"/>
      <c r="L463" s="214">
        <f>'ИСПОЛНЕНИЕ 1 КВ.'!H464+'ИСПОЛНЕНИЕ 2 КВ. '!I473</f>
        <v>0</v>
      </c>
      <c r="M463" s="236"/>
    </row>
    <row r="464" spans="1:13" s="21" customFormat="1" ht="12.75" hidden="1">
      <c r="A464" s="16" t="s">
        <v>21</v>
      </c>
      <c r="B464" s="17" t="s">
        <v>207</v>
      </c>
      <c r="C464" s="17" t="s">
        <v>141</v>
      </c>
      <c r="D464" s="17" t="s">
        <v>69</v>
      </c>
      <c r="E464" s="17" t="s">
        <v>19</v>
      </c>
      <c r="F464" s="17"/>
      <c r="G464" s="240"/>
      <c r="H464" s="240"/>
      <c r="I464" s="236"/>
      <c r="J464" s="236"/>
      <c r="K464" s="236"/>
      <c r="L464" s="214">
        <f>'ИСПОЛНЕНИЕ 1 КВ.'!H465+'ИСПОЛНЕНИЕ 2 КВ. '!I474</f>
        <v>0</v>
      </c>
      <c r="M464" s="236"/>
    </row>
    <row r="465" spans="1:13" s="21" customFormat="1" ht="25.5" hidden="1">
      <c r="A465" s="11" t="s">
        <v>20</v>
      </c>
      <c r="B465" s="4"/>
      <c r="C465" s="4"/>
      <c r="D465" s="4"/>
      <c r="E465" s="4"/>
      <c r="F465" s="4" t="s">
        <v>183</v>
      </c>
      <c r="G465" s="250"/>
      <c r="H465" s="250"/>
      <c r="I465" s="236"/>
      <c r="J465" s="236"/>
      <c r="K465" s="236"/>
      <c r="L465" s="214">
        <f>'ИСПОЛНЕНИЕ 1 КВ.'!H466+'ИСПОЛНЕНИЕ 2 КВ. '!I475</f>
        <v>0</v>
      </c>
      <c r="M465" s="236"/>
    </row>
    <row r="466" spans="1:13" s="21" customFormat="1" ht="38.25" hidden="1">
      <c r="A466" s="8" t="s">
        <v>22</v>
      </c>
      <c r="B466" s="4"/>
      <c r="C466" s="4"/>
      <c r="D466" s="4"/>
      <c r="E466" s="4"/>
      <c r="F466" s="4" t="s">
        <v>185</v>
      </c>
      <c r="G466" s="250"/>
      <c r="H466" s="250"/>
      <c r="I466" s="236"/>
      <c r="J466" s="236"/>
      <c r="K466" s="236"/>
      <c r="L466" s="214">
        <f>'ИСПОЛНЕНИЕ 1 КВ.'!H467+'ИСПОЛНЕНИЕ 2 КВ. '!I476</f>
        <v>0</v>
      </c>
      <c r="M466" s="236"/>
    </row>
    <row r="467" spans="1:13" s="21" customFormat="1" ht="12.75" hidden="1">
      <c r="A467" s="16" t="s">
        <v>23</v>
      </c>
      <c r="B467" s="17" t="s">
        <v>207</v>
      </c>
      <c r="C467" s="17" t="s">
        <v>141</v>
      </c>
      <c r="D467" s="17" t="s">
        <v>69</v>
      </c>
      <c r="E467" s="17" t="s">
        <v>24</v>
      </c>
      <c r="F467" s="17"/>
      <c r="G467" s="240"/>
      <c r="H467" s="240"/>
      <c r="I467" s="236"/>
      <c r="J467" s="236"/>
      <c r="K467" s="236"/>
      <c r="L467" s="214">
        <f>'ИСПОЛНЕНИЕ 1 КВ.'!H468+'ИСПОЛНЕНИЕ 2 КВ. '!I477</f>
        <v>0</v>
      </c>
      <c r="M467" s="236"/>
    </row>
    <row r="468" spans="1:13" s="21" customFormat="1" ht="25.5" hidden="1">
      <c r="A468" s="7" t="s">
        <v>25</v>
      </c>
      <c r="B468" s="4"/>
      <c r="C468" s="4"/>
      <c r="D468" s="4"/>
      <c r="E468" s="4"/>
      <c r="F468" s="4" t="s">
        <v>186</v>
      </c>
      <c r="G468" s="250"/>
      <c r="H468" s="250"/>
      <c r="I468" s="236"/>
      <c r="J468" s="236"/>
      <c r="K468" s="236"/>
      <c r="L468" s="214">
        <f>'ИСПОЛНЕНИЕ 1 КВ.'!H469+'ИСПОЛНЕНИЕ 2 КВ. '!I478</f>
        <v>0</v>
      </c>
      <c r="M468" s="236"/>
    </row>
    <row r="469" spans="1:13" s="21" customFormat="1" ht="25.5" hidden="1">
      <c r="A469" s="7" t="s">
        <v>26</v>
      </c>
      <c r="B469" s="4"/>
      <c r="C469" s="4"/>
      <c r="D469" s="4"/>
      <c r="E469" s="4"/>
      <c r="F469" s="4" t="s">
        <v>187</v>
      </c>
      <c r="G469" s="250"/>
      <c r="H469" s="250"/>
      <c r="I469" s="236"/>
      <c r="J469" s="236"/>
      <c r="K469" s="236"/>
      <c r="L469" s="214">
        <f>'ИСПОЛНЕНИЕ 1 КВ.'!H470+'ИСПОЛНЕНИЕ 2 КВ. '!I479</f>
        <v>0</v>
      </c>
      <c r="M469" s="236"/>
    </row>
    <row r="470" spans="1:13" s="21" customFormat="1" ht="12.75" hidden="1">
      <c r="A470" s="7" t="s">
        <v>27</v>
      </c>
      <c r="B470" s="4"/>
      <c r="C470" s="4"/>
      <c r="D470" s="4"/>
      <c r="E470" s="4"/>
      <c r="F470" s="4" t="s">
        <v>188</v>
      </c>
      <c r="G470" s="250"/>
      <c r="H470" s="250"/>
      <c r="I470" s="236"/>
      <c r="J470" s="236"/>
      <c r="K470" s="236"/>
      <c r="L470" s="214">
        <f>'ИСПОЛНЕНИЕ 1 КВ.'!H471+'ИСПОЛНЕНИЕ 2 КВ. '!I480</f>
        <v>0</v>
      </c>
      <c r="M470" s="236"/>
    </row>
    <row r="471" spans="1:13" s="21" customFormat="1" ht="14.25" customHeight="1" hidden="1">
      <c r="A471" s="16" t="s">
        <v>28</v>
      </c>
      <c r="B471" s="17" t="s">
        <v>207</v>
      </c>
      <c r="C471" s="17" t="s">
        <v>141</v>
      </c>
      <c r="D471" s="17" t="s">
        <v>69</v>
      </c>
      <c r="E471" s="17" t="s">
        <v>29</v>
      </c>
      <c r="F471" s="17"/>
      <c r="G471" s="250"/>
      <c r="H471" s="240"/>
      <c r="I471" s="236"/>
      <c r="J471" s="236"/>
      <c r="K471" s="236"/>
      <c r="L471" s="214">
        <f>'ИСПОЛНЕНИЕ 1 КВ.'!H472+'ИСПОЛНЕНИЕ 2 КВ. '!I481</f>
        <v>0</v>
      </c>
      <c r="M471" s="236"/>
    </row>
    <row r="472" spans="1:13" s="21" customFormat="1" ht="12.75" hidden="1">
      <c r="A472" s="16" t="s">
        <v>30</v>
      </c>
      <c r="B472" s="17" t="s">
        <v>207</v>
      </c>
      <c r="C472" s="17" t="s">
        <v>141</v>
      </c>
      <c r="D472" s="17" t="s">
        <v>69</v>
      </c>
      <c r="E472" s="17" t="s">
        <v>31</v>
      </c>
      <c r="F472" s="17"/>
      <c r="G472" s="240"/>
      <c r="H472" s="240"/>
      <c r="I472" s="236"/>
      <c r="J472" s="236"/>
      <c r="K472" s="236"/>
      <c r="L472" s="214">
        <f>'ИСПОЛНЕНИЕ 1 КВ.'!H473+'ИСПОЛНЕНИЕ 2 КВ. '!I482</f>
        <v>0</v>
      </c>
      <c r="M472" s="236"/>
    </row>
    <row r="473" spans="1:13" s="21" customFormat="1" ht="12.75" hidden="1">
      <c r="A473" s="7" t="s">
        <v>32</v>
      </c>
      <c r="B473" s="17"/>
      <c r="C473" s="17"/>
      <c r="D473" s="17"/>
      <c r="E473" s="17"/>
      <c r="F473" s="17" t="s">
        <v>189</v>
      </c>
      <c r="G473" s="240"/>
      <c r="H473" s="240"/>
      <c r="I473" s="236"/>
      <c r="J473" s="236"/>
      <c r="K473" s="236"/>
      <c r="L473" s="214">
        <f>'ИСПОЛНЕНИЕ 1 КВ.'!H474+'ИСПОЛНЕНИЕ 2 КВ. '!I483</f>
        <v>0</v>
      </c>
      <c r="M473" s="236"/>
    </row>
    <row r="474" spans="1:13" s="21" customFormat="1" ht="12.75" hidden="1">
      <c r="A474" s="7" t="s">
        <v>33</v>
      </c>
      <c r="B474" s="17"/>
      <c r="C474" s="17"/>
      <c r="D474" s="17"/>
      <c r="E474" s="17"/>
      <c r="F474" s="17" t="s">
        <v>191</v>
      </c>
      <c r="G474" s="240"/>
      <c r="H474" s="240"/>
      <c r="I474" s="236"/>
      <c r="J474" s="236"/>
      <c r="K474" s="236"/>
      <c r="L474" s="214">
        <f>'ИСПОЛНЕНИЕ 1 КВ.'!H475+'ИСПОЛНЕНИЕ 2 КВ. '!I484</f>
        <v>0</v>
      </c>
      <c r="M474" s="236"/>
    </row>
    <row r="475" spans="1:13" s="21" customFormat="1" ht="25.5" hidden="1">
      <c r="A475" s="7" t="s">
        <v>34</v>
      </c>
      <c r="B475" s="17"/>
      <c r="C475" s="17"/>
      <c r="D475" s="17"/>
      <c r="E475" s="17"/>
      <c r="F475" s="17" t="s">
        <v>221</v>
      </c>
      <c r="G475" s="240"/>
      <c r="H475" s="240"/>
      <c r="I475" s="236"/>
      <c r="J475" s="236"/>
      <c r="K475" s="236"/>
      <c r="L475" s="214">
        <f>'ИСПОЛНЕНИЕ 1 КВ.'!H476+'ИСПОЛНЕНИЕ 2 КВ. '!I485</f>
        <v>0</v>
      </c>
      <c r="M475" s="236"/>
    </row>
    <row r="476" spans="1:13" s="21" customFormat="1" ht="25.5" hidden="1">
      <c r="A476" s="7" t="s">
        <v>35</v>
      </c>
      <c r="B476" s="17"/>
      <c r="C476" s="17"/>
      <c r="D476" s="17"/>
      <c r="E476" s="17"/>
      <c r="F476" s="17" t="s">
        <v>190</v>
      </c>
      <c r="G476" s="240"/>
      <c r="H476" s="240"/>
      <c r="I476" s="236"/>
      <c r="J476" s="236"/>
      <c r="K476" s="236"/>
      <c r="L476" s="214">
        <f>'ИСПОЛНЕНИЕ 1 КВ.'!H477+'ИСПОЛНЕНИЕ 2 КВ. '!I486</f>
        <v>0</v>
      </c>
      <c r="M476" s="236"/>
    </row>
    <row r="477" spans="1:13" s="21" customFormat="1" ht="51" hidden="1">
      <c r="A477" s="7" t="s">
        <v>36</v>
      </c>
      <c r="B477" s="17"/>
      <c r="C477" s="17"/>
      <c r="D477" s="17"/>
      <c r="E477" s="17"/>
      <c r="F477" s="17" t="s">
        <v>190</v>
      </c>
      <c r="G477" s="240"/>
      <c r="H477" s="240"/>
      <c r="I477" s="236"/>
      <c r="J477" s="236"/>
      <c r="K477" s="236"/>
      <c r="L477" s="214">
        <f>'ИСПОЛНЕНИЕ 1 КВ.'!H478+'ИСПОЛНЕНИЕ 2 КВ. '!I487</f>
        <v>0</v>
      </c>
      <c r="M477" s="236"/>
    </row>
    <row r="478" spans="1:13" s="21" customFormat="1" ht="12.75" hidden="1">
      <c r="A478" s="16" t="s">
        <v>37</v>
      </c>
      <c r="B478" s="17" t="s">
        <v>207</v>
      </c>
      <c r="C478" s="17" t="s">
        <v>141</v>
      </c>
      <c r="D478" s="17" t="s">
        <v>69</v>
      </c>
      <c r="E478" s="17" t="s">
        <v>38</v>
      </c>
      <c r="F478" s="17"/>
      <c r="G478" s="240"/>
      <c r="H478" s="240"/>
      <c r="I478" s="236"/>
      <c r="J478" s="236"/>
      <c r="K478" s="236"/>
      <c r="L478" s="214">
        <f>'ИСПОЛНЕНИЕ 1 КВ.'!H479+'ИСПОЛНЕНИЕ 2 КВ. '!I488</f>
        <v>0</v>
      </c>
      <c r="M478" s="236"/>
    </row>
    <row r="479" spans="1:13" s="21" customFormat="1" ht="38.25" hidden="1">
      <c r="A479" s="11" t="s">
        <v>39</v>
      </c>
      <c r="B479" s="20"/>
      <c r="C479" s="20"/>
      <c r="D479" s="20"/>
      <c r="E479" s="20"/>
      <c r="F479" s="20" t="s">
        <v>183</v>
      </c>
      <c r="G479" s="236"/>
      <c r="H479" s="236"/>
      <c r="I479" s="236"/>
      <c r="J479" s="236"/>
      <c r="K479" s="236"/>
      <c r="L479" s="214">
        <f>'ИСПОЛНЕНИЕ 1 КВ.'!H480+'ИСПОЛНЕНИЕ 2 КВ. '!I489</f>
        <v>0</v>
      </c>
      <c r="M479" s="236"/>
    </row>
    <row r="480" spans="1:13" s="21" customFormat="1" ht="38.25" hidden="1">
      <c r="A480" s="19" t="s">
        <v>40</v>
      </c>
      <c r="B480" s="20"/>
      <c r="C480" s="20"/>
      <c r="D480" s="20"/>
      <c r="E480" s="20"/>
      <c r="F480" s="20" t="s">
        <v>222</v>
      </c>
      <c r="G480" s="236"/>
      <c r="H480" s="236"/>
      <c r="I480" s="236"/>
      <c r="J480" s="236"/>
      <c r="K480" s="236"/>
      <c r="L480" s="214">
        <f>'ИСПОЛНЕНИЕ 1 КВ.'!H481+'ИСПОЛНЕНИЕ 2 КВ. '!I490</f>
        <v>0</v>
      </c>
      <c r="M480" s="236"/>
    </row>
    <row r="481" spans="1:13" s="21" customFormat="1" ht="24.75" customHeight="1" hidden="1">
      <c r="A481" s="12" t="s">
        <v>41</v>
      </c>
      <c r="B481" s="20"/>
      <c r="C481" s="20"/>
      <c r="D481" s="20"/>
      <c r="E481" s="20"/>
      <c r="F481" s="20" t="s">
        <v>192</v>
      </c>
      <c r="G481" s="236"/>
      <c r="H481" s="236"/>
      <c r="I481" s="236"/>
      <c r="J481" s="236"/>
      <c r="K481" s="236"/>
      <c r="L481" s="214">
        <f>'ИСПОЛНЕНИЕ 1 КВ.'!H482+'ИСПОЛНЕНИЕ 2 КВ. '!I491</f>
        <v>0</v>
      </c>
      <c r="M481" s="236"/>
    </row>
    <row r="482" spans="1:13" s="45" customFormat="1" ht="12.75" hidden="1">
      <c r="A482" s="43" t="s">
        <v>42</v>
      </c>
      <c r="B482" s="44" t="s">
        <v>207</v>
      </c>
      <c r="C482" s="44" t="s">
        <v>141</v>
      </c>
      <c r="D482" s="44" t="s">
        <v>69</v>
      </c>
      <c r="E482" s="44" t="s">
        <v>43</v>
      </c>
      <c r="F482" s="44"/>
      <c r="G482" s="239"/>
      <c r="H482" s="239"/>
      <c r="I482" s="239"/>
      <c r="J482" s="239"/>
      <c r="K482" s="239"/>
      <c r="L482" s="214">
        <f>'ИСПОЛНЕНИЕ 1 КВ.'!H483+'ИСПОЛНЕНИЕ 2 КВ. '!I492</f>
        <v>0</v>
      </c>
      <c r="M482" s="239"/>
    </row>
    <row r="483" spans="1:13" s="21" customFormat="1" ht="12.75" hidden="1">
      <c r="A483" s="16" t="s">
        <v>44</v>
      </c>
      <c r="B483" s="17" t="s">
        <v>207</v>
      </c>
      <c r="C483" s="17" t="s">
        <v>141</v>
      </c>
      <c r="D483" s="17" t="s">
        <v>69</v>
      </c>
      <c r="E483" s="17" t="s">
        <v>45</v>
      </c>
      <c r="F483" s="17"/>
      <c r="G483" s="240"/>
      <c r="H483" s="240"/>
      <c r="I483" s="236"/>
      <c r="J483" s="236"/>
      <c r="K483" s="236"/>
      <c r="L483" s="214">
        <f>'ИСПОЛНЕНИЕ 1 КВ.'!H484+'ИСПОЛНЕНИЕ 2 КВ. '!I493</f>
        <v>0</v>
      </c>
      <c r="M483" s="236"/>
    </row>
    <row r="484" spans="1:13" s="21" customFormat="1" ht="12.75" hidden="1">
      <c r="A484" s="6" t="s">
        <v>46</v>
      </c>
      <c r="B484" s="20"/>
      <c r="C484" s="20"/>
      <c r="D484" s="20"/>
      <c r="E484" s="20"/>
      <c r="F484" s="20"/>
      <c r="G484" s="236"/>
      <c r="H484" s="236"/>
      <c r="I484" s="236"/>
      <c r="J484" s="236"/>
      <c r="K484" s="236"/>
      <c r="L484" s="214">
        <f>'ИСПОЛНЕНИЕ 1 КВ.'!H485+'ИСПОЛНЕНИЕ 2 КВ. '!I494</f>
        <v>0</v>
      </c>
      <c r="M484" s="236"/>
    </row>
    <row r="485" spans="1:13" s="45" customFormat="1" ht="12.75" hidden="1">
      <c r="A485" s="43" t="s">
        <v>47</v>
      </c>
      <c r="B485" s="44" t="s">
        <v>207</v>
      </c>
      <c r="C485" s="44" t="s">
        <v>141</v>
      </c>
      <c r="D485" s="44" t="s">
        <v>69</v>
      </c>
      <c r="E485" s="44" t="s">
        <v>48</v>
      </c>
      <c r="F485" s="44"/>
      <c r="G485" s="239"/>
      <c r="H485" s="239"/>
      <c r="I485" s="239"/>
      <c r="J485" s="239"/>
      <c r="K485" s="239"/>
      <c r="L485" s="214">
        <f>'ИСПОЛНЕНИЕ 1 КВ.'!H486+'ИСПОЛНЕНИЕ 2 КВ. '!I495</f>
        <v>0</v>
      </c>
      <c r="M485" s="239"/>
    </row>
    <row r="486" spans="1:13" s="21" customFormat="1" ht="24" customHeight="1" hidden="1">
      <c r="A486" s="12" t="s">
        <v>41</v>
      </c>
      <c r="B486" s="20"/>
      <c r="C486" s="20"/>
      <c r="D486" s="20"/>
      <c r="E486" s="20"/>
      <c r="F486" s="20"/>
      <c r="G486" s="236"/>
      <c r="H486" s="236"/>
      <c r="I486" s="236"/>
      <c r="J486" s="236"/>
      <c r="K486" s="236"/>
      <c r="L486" s="214">
        <f>'ИСПОЛНЕНИЕ 1 КВ.'!H487+'ИСПОЛНЕНИЕ 2 КВ. '!I496</f>
        <v>0</v>
      </c>
      <c r="M486" s="236"/>
    </row>
    <row r="487" spans="1:13" s="45" customFormat="1" ht="12.75" hidden="1">
      <c r="A487" s="43" t="s">
        <v>49</v>
      </c>
      <c r="B487" s="44" t="s">
        <v>207</v>
      </c>
      <c r="C487" s="44" t="s">
        <v>141</v>
      </c>
      <c r="D487" s="44" t="s">
        <v>69</v>
      </c>
      <c r="E487" s="44" t="s">
        <v>50</v>
      </c>
      <c r="F487" s="44"/>
      <c r="G487" s="239"/>
      <c r="H487" s="239"/>
      <c r="I487" s="239"/>
      <c r="J487" s="239"/>
      <c r="K487" s="239"/>
      <c r="L487" s="214">
        <f>'ИСПОЛНЕНИЕ 1 КВ.'!H488+'ИСПОЛНЕНИЕ 2 КВ. '!I497</f>
        <v>0</v>
      </c>
      <c r="M487" s="239"/>
    </row>
    <row r="488" spans="1:13" s="21" customFormat="1" ht="12.75" hidden="1">
      <c r="A488" s="16" t="s">
        <v>51</v>
      </c>
      <c r="B488" s="17" t="s">
        <v>207</v>
      </c>
      <c r="C488" s="17" t="s">
        <v>141</v>
      </c>
      <c r="D488" s="17" t="s">
        <v>69</v>
      </c>
      <c r="E488" s="17" t="s">
        <v>52</v>
      </c>
      <c r="F488" s="17"/>
      <c r="G488" s="240"/>
      <c r="H488" s="240"/>
      <c r="I488" s="236"/>
      <c r="J488" s="236"/>
      <c r="K488" s="236"/>
      <c r="L488" s="214">
        <f>'ИСПОЛНЕНИЕ 1 КВ.'!H489+'ИСПОЛНЕНИЕ 2 КВ. '!I498</f>
        <v>0</v>
      </c>
      <c r="M488" s="236"/>
    </row>
    <row r="489" spans="1:13" s="21" customFormat="1" ht="12.75" hidden="1">
      <c r="A489" s="7" t="s">
        <v>53</v>
      </c>
      <c r="B489" s="20"/>
      <c r="C489" s="20"/>
      <c r="D489" s="20"/>
      <c r="E489" s="20"/>
      <c r="F489" s="20" t="s">
        <v>223</v>
      </c>
      <c r="G489" s="236"/>
      <c r="H489" s="236"/>
      <c r="I489" s="236"/>
      <c r="J489" s="236"/>
      <c r="K489" s="236"/>
      <c r="L489" s="214">
        <f>'ИСПОЛНЕНИЕ 1 КВ.'!H490+'ИСПОЛНЕНИЕ 2 КВ. '!I499</f>
        <v>0</v>
      </c>
      <c r="M489" s="236"/>
    </row>
    <row r="490" spans="1:13" s="21" customFormat="1" ht="51" hidden="1">
      <c r="A490" s="7" t="s">
        <v>54</v>
      </c>
      <c r="B490" s="20"/>
      <c r="C490" s="20"/>
      <c r="D490" s="20"/>
      <c r="E490" s="20"/>
      <c r="F490" s="20" t="s">
        <v>194</v>
      </c>
      <c r="G490" s="236"/>
      <c r="H490" s="236"/>
      <c r="I490" s="236"/>
      <c r="J490" s="236"/>
      <c r="K490" s="236"/>
      <c r="L490" s="214">
        <f>'ИСПОЛНЕНИЕ 1 КВ.'!H491+'ИСПОЛНЕНИЕ 2 КВ. '!I500</f>
        <v>0</v>
      </c>
      <c r="M490" s="236"/>
    </row>
    <row r="491" spans="1:13" s="21" customFormat="1" ht="50.25" customHeight="1" hidden="1">
      <c r="A491" s="7" t="s">
        <v>55</v>
      </c>
      <c r="B491" s="20"/>
      <c r="C491" s="20"/>
      <c r="D491" s="20"/>
      <c r="E491" s="20"/>
      <c r="F491" s="20" t="s">
        <v>193</v>
      </c>
      <c r="G491" s="236"/>
      <c r="H491" s="236"/>
      <c r="I491" s="236"/>
      <c r="J491" s="236"/>
      <c r="K491" s="236"/>
      <c r="L491" s="214">
        <f>'ИСПОЛНЕНИЕ 1 КВ.'!H492+'ИСПОЛНЕНИЕ 2 КВ. '!I501</f>
        <v>0</v>
      </c>
      <c r="M491" s="236"/>
    </row>
    <row r="492" spans="1:13" s="21" customFormat="1" ht="15" customHeight="1" hidden="1">
      <c r="A492" s="16" t="s">
        <v>56</v>
      </c>
      <c r="B492" s="17" t="s">
        <v>207</v>
      </c>
      <c r="C492" s="17" t="s">
        <v>141</v>
      </c>
      <c r="D492" s="17" t="s">
        <v>69</v>
      </c>
      <c r="E492" s="17" t="s">
        <v>57</v>
      </c>
      <c r="F492" s="17"/>
      <c r="G492" s="240"/>
      <c r="H492" s="240"/>
      <c r="I492" s="236"/>
      <c r="J492" s="236"/>
      <c r="K492" s="236"/>
      <c r="L492" s="214">
        <f>'ИСПОЛНЕНИЕ 1 КВ.'!H493+'ИСПОЛНЕНИЕ 2 КВ. '!I502</f>
        <v>0</v>
      </c>
      <c r="M492" s="236"/>
    </row>
    <row r="493" spans="1:13" s="21" customFormat="1" ht="25.5" hidden="1">
      <c r="A493" s="7" t="s">
        <v>58</v>
      </c>
      <c r="B493" s="20"/>
      <c r="C493" s="20"/>
      <c r="D493" s="20"/>
      <c r="E493" s="20"/>
      <c r="F493" s="20" t="s">
        <v>195</v>
      </c>
      <c r="G493" s="236"/>
      <c r="H493" s="236"/>
      <c r="I493" s="236"/>
      <c r="J493" s="236"/>
      <c r="K493" s="236"/>
      <c r="L493" s="214">
        <f>'ИСПОЛНЕНИЕ 1 КВ.'!H494+'ИСПОЛНЕНИЕ 2 КВ. '!I503</f>
        <v>0</v>
      </c>
      <c r="M493" s="236"/>
    </row>
    <row r="494" spans="1:13" s="21" customFormat="1" ht="12.75" hidden="1">
      <c r="A494" s="7" t="s">
        <v>59</v>
      </c>
      <c r="B494" s="20"/>
      <c r="C494" s="20"/>
      <c r="D494" s="20"/>
      <c r="E494" s="20"/>
      <c r="F494" s="20" t="s">
        <v>196</v>
      </c>
      <c r="G494" s="236"/>
      <c r="H494" s="236"/>
      <c r="I494" s="236"/>
      <c r="J494" s="236"/>
      <c r="K494" s="236"/>
      <c r="L494" s="214">
        <f>'ИСПОЛНЕНИЕ 1 КВ.'!H495+'ИСПОЛНЕНИЕ 2 КВ. '!I504</f>
        <v>0</v>
      </c>
      <c r="M494" s="236"/>
    </row>
    <row r="495" spans="1:13" s="21" customFormat="1" ht="12.75" hidden="1">
      <c r="A495" s="7" t="s">
        <v>60</v>
      </c>
      <c r="B495" s="20"/>
      <c r="C495" s="20"/>
      <c r="D495" s="20"/>
      <c r="E495" s="20"/>
      <c r="F495" s="20" t="s">
        <v>197</v>
      </c>
      <c r="G495" s="236"/>
      <c r="H495" s="236"/>
      <c r="I495" s="236"/>
      <c r="J495" s="236"/>
      <c r="K495" s="236"/>
      <c r="L495" s="214">
        <f>'ИСПОЛНЕНИЕ 1 КВ.'!H496+'ИСПОЛНЕНИЕ 2 КВ. '!I505</f>
        <v>0</v>
      </c>
      <c r="M495" s="236"/>
    </row>
    <row r="496" spans="1:13" s="21" customFormat="1" ht="38.25" hidden="1">
      <c r="A496" s="7" t="s">
        <v>61</v>
      </c>
      <c r="B496" s="20"/>
      <c r="C496" s="20"/>
      <c r="D496" s="20"/>
      <c r="E496" s="20"/>
      <c r="F496" s="20" t="s">
        <v>198</v>
      </c>
      <c r="G496" s="236"/>
      <c r="H496" s="236"/>
      <c r="I496" s="236"/>
      <c r="J496" s="236"/>
      <c r="K496" s="236"/>
      <c r="L496" s="214">
        <f>'ИСПОЛНЕНИЕ 1 КВ.'!H497+'ИСПОЛНЕНИЕ 2 КВ. '!I506</f>
        <v>0</v>
      </c>
      <c r="M496" s="236"/>
    </row>
    <row r="497" spans="1:13" s="21" customFormat="1" ht="25.5" hidden="1">
      <c r="A497" s="26" t="s">
        <v>72</v>
      </c>
      <c r="B497" s="24" t="s">
        <v>158</v>
      </c>
      <c r="C497" s="24" t="s">
        <v>140</v>
      </c>
      <c r="D497" s="24" t="s">
        <v>69</v>
      </c>
      <c r="E497" s="24"/>
      <c r="F497" s="24"/>
      <c r="G497" s="253">
        <f>SUM(H497:H497)</f>
        <v>1394.9</v>
      </c>
      <c r="H497" s="253">
        <f>SUM(H498,H506,H526,H529,H531)</f>
        <v>1394.9</v>
      </c>
      <c r="I497" s="236"/>
      <c r="J497" s="236"/>
      <c r="K497" s="236"/>
      <c r="L497" s="214">
        <f>'ИСПОЛНЕНИЕ 1 КВ.'!H498+'ИСПОЛНЕНИЕ 2 КВ. '!I507</f>
        <v>0</v>
      </c>
      <c r="M497" s="236"/>
    </row>
    <row r="498" spans="1:13" s="45" customFormat="1" ht="15.75" customHeight="1" hidden="1">
      <c r="A498" s="43" t="s">
        <v>4</v>
      </c>
      <c r="B498" s="44" t="s">
        <v>158</v>
      </c>
      <c r="C498" s="44" t="s">
        <v>140</v>
      </c>
      <c r="D498" s="44" t="s">
        <v>69</v>
      </c>
      <c r="E498" s="44" t="s">
        <v>5</v>
      </c>
      <c r="F498" s="44"/>
      <c r="G498" s="239">
        <f>SUM(G499,G500,G505)</f>
        <v>1015.5</v>
      </c>
      <c r="H498" s="239">
        <f>SUM(H499,H500,H505)</f>
        <v>1015.5</v>
      </c>
      <c r="I498" s="239"/>
      <c r="J498" s="239"/>
      <c r="K498" s="239"/>
      <c r="L498" s="214">
        <f>'ИСПОЛНЕНИЕ 1 КВ.'!H499+'ИСПОЛНЕНИЕ 2 КВ. '!I508</f>
        <v>0</v>
      </c>
      <c r="M498" s="239"/>
    </row>
    <row r="499" spans="1:13" s="21" customFormat="1" ht="12.75" hidden="1">
      <c r="A499" s="16" t="s">
        <v>6</v>
      </c>
      <c r="B499" s="17" t="s">
        <v>158</v>
      </c>
      <c r="C499" s="17" t="s">
        <v>140</v>
      </c>
      <c r="D499" s="17" t="s">
        <v>69</v>
      </c>
      <c r="E499" s="17" t="s">
        <v>7</v>
      </c>
      <c r="F499" s="17"/>
      <c r="G499" s="240">
        <f>SUM(H499:H499)</f>
        <v>572</v>
      </c>
      <c r="H499" s="240">
        <v>572</v>
      </c>
      <c r="I499" s="236"/>
      <c r="J499" s="236"/>
      <c r="K499" s="236"/>
      <c r="L499" s="214">
        <f>'ИСПОЛНЕНИЕ 1 КВ.'!H500+'ИСПОЛНЕНИЕ 2 КВ. '!I509</f>
        <v>0</v>
      </c>
      <c r="M499" s="236"/>
    </row>
    <row r="500" spans="1:13" s="21" customFormat="1" ht="12.75" hidden="1">
      <c r="A500" s="16" t="s">
        <v>8</v>
      </c>
      <c r="B500" s="17" t="s">
        <v>158</v>
      </c>
      <c r="C500" s="17" t="s">
        <v>140</v>
      </c>
      <c r="D500" s="17" t="s">
        <v>69</v>
      </c>
      <c r="E500" s="17" t="s">
        <v>9</v>
      </c>
      <c r="F500" s="17"/>
      <c r="G500" s="240">
        <f>SUM(G501:G504)</f>
        <v>293.6</v>
      </c>
      <c r="H500" s="240">
        <f>SUM(H501:H504)</f>
        <v>293.6</v>
      </c>
      <c r="I500" s="236"/>
      <c r="J500" s="236"/>
      <c r="K500" s="236"/>
      <c r="L500" s="214">
        <f>'ИСПОЛНЕНИЕ 1 КВ.'!H501+'ИСПОЛНЕНИЕ 2 КВ. '!I510</f>
        <v>0</v>
      </c>
      <c r="M500" s="236"/>
    </row>
    <row r="501" spans="1:13" s="21" customFormat="1" ht="25.5" hidden="1">
      <c r="A501" s="11" t="s">
        <v>10</v>
      </c>
      <c r="B501" s="4"/>
      <c r="C501" s="4"/>
      <c r="D501" s="4"/>
      <c r="E501" s="4"/>
      <c r="F501" s="4" t="s">
        <v>183</v>
      </c>
      <c r="G501" s="250">
        <f aca="true" t="shared" si="62" ref="G501:G507">SUM(H501:H501)</f>
        <v>0.6</v>
      </c>
      <c r="H501" s="250">
        <v>0.6</v>
      </c>
      <c r="I501" s="236"/>
      <c r="J501" s="236"/>
      <c r="K501" s="236"/>
      <c r="L501" s="214">
        <f>'ИСПОЛНЕНИЕ 1 КВ.'!H502+'ИСПОЛНЕНИЕ 2 КВ. '!I511</f>
        <v>0</v>
      </c>
      <c r="M501" s="236"/>
    </row>
    <row r="502" spans="1:13" s="21" customFormat="1" ht="15.75" customHeight="1" hidden="1">
      <c r="A502" s="12" t="s">
        <v>11</v>
      </c>
      <c r="B502" s="4"/>
      <c r="C502" s="4"/>
      <c r="D502" s="4"/>
      <c r="E502" s="4"/>
      <c r="F502" s="4" t="s">
        <v>200</v>
      </c>
      <c r="G502" s="250">
        <f t="shared" si="62"/>
        <v>15</v>
      </c>
      <c r="H502" s="250">
        <v>15</v>
      </c>
      <c r="I502" s="236"/>
      <c r="J502" s="236"/>
      <c r="K502" s="236"/>
      <c r="L502" s="214">
        <f>'ИСПОЛНЕНИЕ 1 КВ.'!H503+'ИСПОЛНЕНИЕ 2 КВ. '!I512</f>
        <v>0</v>
      </c>
      <c r="M502" s="236"/>
    </row>
    <row r="503" spans="1:13" s="30" customFormat="1" ht="10.5" customHeight="1" hidden="1">
      <c r="A503" s="65" t="s">
        <v>130</v>
      </c>
      <c r="B503" s="29"/>
      <c r="C503" s="29"/>
      <c r="D503" s="29"/>
      <c r="E503" s="29"/>
      <c r="F503" s="29" t="s">
        <v>199</v>
      </c>
      <c r="G503" s="254">
        <f t="shared" si="62"/>
        <v>6</v>
      </c>
      <c r="H503" s="254">
        <v>6</v>
      </c>
      <c r="I503" s="254"/>
      <c r="J503" s="254"/>
      <c r="K503" s="254"/>
      <c r="L503" s="214">
        <f>'ИСПОЛНЕНИЕ 1 КВ.'!H504+'ИСПОЛНЕНИЕ 2 КВ. '!I513</f>
        <v>0</v>
      </c>
      <c r="M503" s="254"/>
    </row>
    <row r="504" spans="1:13" s="21" customFormat="1" ht="25.5" hidden="1">
      <c r="A504" s="6" t="s">
        <v>12</v>
      </c>
      <c r="B504" s="4"/>
      <c r="C504" s="4"/>
      <c r="D504" s="4"/>
      <c r="E504" s="4"/>
      <c r="F504" s="4" t="s">
        <v>184</v>
      </c>
      <c r="G504" s="250">
        <f t="shared" si="62"/>
        <v>272</v>
      </c>
      <c r="H504" s="250">
        <v>272</v>
      </c>
      <c r="I504" s="236"/>
      <c r="J504" s="236"/>
      <c r="K504" s="236"/>
      <c r="L504" s="214">
        <f>'ИСПОЛНЕНИЕ 1 КВ.'!H505+'ИСПОЛНЕНИЕ 2 КВ. '!I514</f>
        <v>0</v>
      </c>
      <c r="M504" s="236"/>
    </row>
    <row r="505" spans="1:13" s="21" customFormat="1" ht="12.75" hidden="1">
      <c r="A505" s="16" t="s">
        <v>13</v>
      </c>
      <c r="B505" s="17" t="s">
        <v>158</v>
      </c>
      <c r="C505" s="17" t="s">
        <v>140</v>
      </c>
      <c r="D505" s="17" t="s">
        <v>69</v>
      </c>
      <c r="E505" s="17" t="s">
        <v>14</v>
      </c>
      <c r="F505" s="17"/>
      <c r="G505" s="249">
        <f t="shared" si="62"/>
        <v>149.9</v>
      </c>
      <c r="H505" s="240">
        <v>149.9</v>
      </c>
      <c r="I505" s="236"/>
      <c r="J505" s="236"/>
      <c r="K505" s="236"/>
      <c r="L505" s="214">
        <f>'ИСПОЛНЕНИЕ 1 КВ.'!H506+'ИСПОЛНЕНИЕ 2 КВ. '!I515</f>
        <v>0</v>
      </c>
      <c r="M505" s="236"/>
    </row>
    <row r="506" spans="1:13" s="45" customFormat="1" ht="12.75" hidden="1">
      <c r="A506" s="43" t="s">
        <v>15</v>
      </c>
      <c r="B506" s="44" t="s">
        <v>158</v>
      </c>
      <c r="C506" s="44" t="s">
        <v>140</v>
      </c>
      <c r="D506" s="44" t="s">
        <v>69</v>
      </c>
      <c r="E506" s="44" t="s">
        <v>16</v>
      </c>
      <c r="F506" s="44"/>
      <c r="G506" s="239">
        <f t="shared" si="62"/>
        <v>266.90000000000003</v>
      </c>
      <c r="H506" s="239">
        <f>SUM(H507:H508,H511,H515,H516,H522,)</f>
        <v>266.90000000000003</v>
      </c>
      <c r="I506" s="239"/>
      <c r="J506" s="239"/>
      <c r="K506" s="239"/>
      <c r="L506" s="214">
        <f>'ИСПОЛНЕНИЕ 1 КВ.'!H507+'ИСПОЛНЕНИЕ 2 КВ. '!I516</f>
        <v>0</v>
      </c>
      <c r="M506" s="239"/>
    </row>
    <row r="507" spans="1:13" s="21" customFormat="1" ht="12.75" hidden="1">
      <c r="A507" s="16" t="s">
        <v>17</v>
      </c>
      <c r="B507" s="17" t="s">
        <v>158</v>
      </c>
      <c r="C507" s="17" t="s">
        <v>140</v>
      </c>
      <c r="D507" s="17" t="s">
        <v>69</v>
      </c>
      <c r="E507" s="17" t="s">
        <v>18</v>
      </c>
      <c r="F507" s="17"/>
      <c r="G507" s="240">
        <f t="shared" si="62"/>
        <v>8</v>
      </c>
      <c r="H507" s="240">
        <v>8</v>
      </c>
      <c r="I507" s="236"/>
      <c r="J507" s="236"/>
      <c r="K507" s="236"/>
      <c r="L507" s="214">
        <f>'ИСПОЛНЕНИЕ 1 КВ.'!H508+'ИСПОЛНЕНИЕ 2 КВ. '!I517</f>
        <v>0</v>
      </c>
      <c r="M507" s="236"/>
    </row>
    <row r="508" spans="1:13" s="21" customFormat="1" ht="12.75" hidden="1">
      <c r="A508" s="16" t="s">
        <v>21</v>
      </c>
      <c r="B508" s="17" t="s">
        <v>158</v>
      </c>
      <c r="C508" s="17" t="s">
        <v>140</v>
      </c>
      <c r="D508" s="17" t="s">
        <v>69</v>
      </c>
      <c r="E508" s="17" t="s">
        <v>19</v>
      </c>
      <c r="F508" s="17"/>
      <c r="G508" s="240">
        <f>SUM(G509:G510)</f>
        <v>10.1</v>
      </c>
      <c r="H508" s="240">
        <f>SUM(H509:H510)</f>
        <v>10.1</v>
      </c>
      <c r="I508" s="236"/>
      <c r="J508" s="236"/>
      <c r="K508" s="236"/>
      <c r="L508" s="214">
        <f>'ИСПОЛНЕНИЕ 1 КВ.'!H509+'ИСПОЛНЕНИЕ 2 КВ. '!I518</f>
        <v>0</v>
      </c>
      <c r="M508" s="236"/>
    </row>
    <row r="509" spans="1:13" s="21" customFormat="1" ht="25.5" hidden="1">
      <c r="A509" s="11" t="s">
        <v>20</v>
      </c>
      <c r="B509" s="4"/>
      <c r="C509" s="4"/>
      <c r="D509" s="4"/>
      <c r="E509" s="4"/>
      <c r="F509" s="4" t="s">
        <v>183</v>
      </c>
      <c r="G509" s="250">
        <f>SUM(H509:H509)</f>
        <v>10.1</v>
      </c>
      <c r="H509" s="250">
        <v>10.1</v>
      </c>
      <c r="I509" s="236"/>
      <c r="J509" s="236"/>
      <c r="K509" s="236"/>
      <c r="L509" s="214">
        <f>'ИСПОЛНЕНИЕ 1 КВ.'!H510+'ИСПОЛНЕНИЕ 2 КВ. '!I519</f>
        <v>0</v>
      </c>
      <c r="M509" s="236"/>
    </row>
    <row r="510" spans="1:13" s="21" customFormat="1" ht="38.25" hidden="1">
      <c r="A510" s="8" t="s">
        <v>22</v>
      </c>
      <c r="B510" s="4"/>
      <c r="C510" s="4"/>
      <c r="D510" s="4"/>
      <c r="E510" s="4"/>
      <c r="F510" s="4" t="s">
        <v>185</v>
      </c>
      <c r="G510" s="250">
        <f>SUM(H510:H510)</f>
        <v>0</v>
      </c>
      <c r="H510" s="250"/>
      <c r="I510" s="236"/>
      <c r="J510" s="236"/>
      <c r="K510" s="236"/>
      <c r="L510" s="214">
        <f>'ИСПОЛНЕНИЕ 1 КВ.'!H511+'ИСПОЛНЕНИЕ 2 КВ. '!I520</f>
        <v>0</v>
      </c>
      <c r="M510" s="236"/>
    </row>
    <row r="511" spans="1:13" s="21" customFormat="1" ht="12.75" hidden="1">
      <c r="A511" s="16" t="s">
        <v>23</v>
      </c>
      <c r="B511" s="17" t="s">
        <v>158</v>
      </c>
      <c r="C511" s="17" t="s">
        <v>140</v>
      </c>
      <c r="D511" s="17" t="s">
        <v>69</v>
      </c>
      <c r="E511" s="17" t="s">
        <v>24</v>
      </c>
      <c r="F511" s="17"/>
      <c r="G511" s="240">
        <f>SUM(G512:G514)</f>
        <v>112.80000000000001</v>
      </c>
      <c r="H511" s="240">
        <f>SUM(H512:H514)</f>
        <v>112.80000000000001</v>
      </c>
      <c r="I511" s="236"/>
      <c r="J511" s="236"/>
      <c r="K511" s="236"/>
      <c r="L511" s="214">
        <f>'ИСПОЛНЕНИЕ 1 КВ.'!H512+'ИСПОЛНЕНИЕ 2 КВ. '!I521</f>
        <v>0</v>
      </c>
      <c r="M511" s="236"/>
    </row>
    <row r="512" spans="1:13" s="21" customFormat="1" ht="25.5" hidden="1">
      <c r="A512" s="7" t="s">
        <v>25</v>
      </c>
      <c r="B512" s="4"/>
      <c r="C512" s="4"/>
      <c r="D512" s="4"/>
      <c r="E512" s="4"/>
      <c r="F512" s="4" t="s">
        <v>186</v>
      </c>
      <c r="G512" s="250">
        <f>SUM(H512:H512)</f>
        <v>86.7</v>
      </c>
      <c r="H512" s="250">
        <v>86.7</v>
      </c>
      <c r="I512" s="236"/>
      <c r="J512" s="236"/>
      <c r="K512" s="236"/>
      <c r="L512" s="214">
        <f>'ИСПОЛНЕНИЕ 1 КВ.'!H513+'ИСПОЛНЕНИЕ 2 КВ. '!I522</f>
        <v>0</v>
      </c>
      <c r="M512" s="236"/>
    </row>
    <row r="513" spans="1:13" s="21" customFormat="1" ht="25.5" hidden="1">
      <c r="A513" s="7" t="s">
        <v>26</v>
      </c>
      <c r="B513" s="4"/>
      <c r="C513" s="4"/>
      <c r="D513" s="4"/>
      <c r="E513" s="4"/>
      <c r="F513" s="4" t="s">
        <v>187</v>
      </c>
      <c r="G513" s="250">
        <f>SUM(H513:H513)</f>
        <v>17.7</v>
      </c>
      <c r="H513" s="250">
        <v>17.7</v>
      </c>
      <c r="I513" s="236"/>
      <c r="J513" s="236"/>
      <c r="K513" s="236"/>
      <c r="L513" s="214">
        <f>'ИСПОЛНЕНИЕ 1 КВ.'!H514+'ИСПОЛНЕНИЕ 2 КВ. '!I523</f>
        <v>0</v>
      </c>
      <c r="M513" s="236"/>
    </row>
    <row r="514" spans="1:13" s="21" customFormat="1" ht="12.75" hidden="1">
      <c r="A514" s="7" t="s">
        <v>27</v>
      </c>
      <c r="B514" s="4"/>
      <c r="C514" s="4"/>
      <c r="D514" s="4"/>
      <c r="E514" s="4"/>
      <c r="F514" s="4" t="s">
        <v>188</v>
      </c>
      <c r="G514" s="250">
        <f>SUM(H514:H514)</f>
        <v>8.4</v>
      </c>
      <c r="H514" s="250">
        <v>8.4</v>
      </c>
      <c r="I514" s="236"/>
      <c r="J514" s="236"/>
      <c r="K514" s="236"/>
      <c r="L514" s="214">
        <f>'ИСПОЛНЕНИЕ 1 КВ.'!H515+'ИСПОЛНЕНИЕ 2 КВ. '!I524</f>
        <v>0</v>
      </c>
      <c r="M514" s="236"/>
    </row>
    <row r="515" spans="1:13" s="21" customFormat="1" ht="9.75" customHeight="1" hidden="1">
      <c r="A515" s="16" t="s">
        <v>28</v>
      </c>
      <c r="B515" s="17" t="s">
        <v>158</v>
      </c>
      <c r="C515" s="17" t="s">
        <v>140</v>
      </c>
      <c r="D515" s="17" t="s">
        <v>69</v>
      </c>
      <c r="E515" s="17" t="s">
        <v>29</v>
      </c>
      <c r="F515" s="17"/>
      <c r="G515" s="250">
        <f>SUM(H515:H515)</f>
        <v>0</v>
      </c>
      <c r="H515" s="240"/>
      <c r="I515" s="236"/>
      <c r="J515" s="236"/>
      <c r="K515" s="236"/>
      <c r="L515" s="214">
        <f>'ИСПОЛНЕНИЕ 1 КВ.'!H516+'ИСПОЛНЕНИЕ 2 КВ. '!I525</f>
        <v>0</v>
      </c>
      <c r="M515" s="236"/>
    </row>
    <row r="516" spans="1:13" s="21" customFormat="1" ht="12.75" hidden="1">
      <c r="A516" s="16" t="s">
        <v>30</v>
      </c>
      <c r="B516" s="17" t="s">
        <v>158</v>
      </c>
      <c r="C516" s="17" t="s">
        <v>140</v>
      </c>
      <c r="D516" s="17" t="s">
        <v>69</v>
      </c>
      <c r="E516" s="17" t="s">
        <v>31</v>
      </c>
      <c r="F516" s="17"/>
      <c r="G516" s="240">
        <f>SUM(G517:G521)</f>
        <v>110.7</v>
      </c>
      <c r="H516" s="240">
        <f>SUM(H517:H521)</f>
        <v>110.7</v>
      </c>
      <c r="I516" s="236"/>
      <c r="J516" s="236"/>
      <c r="K516" s="236"/>
      <c r="L516" s="214">
        <f>'ИСПОЛНЕНИЕ 1 КВ.'!H517+'ИСПОЛНЕНИЕ 2 КВ. '!I526</f>
        <v>0</v>
      </c>
      <c r="M516" s="236"/>
    </row>
    <row r="517" spans="1:13" s="21" customFormat="1" ht="12.75" hidden="1">
      <c r="A517" s="7" t="s">
        <v>32</v>
      </c>
      <c r="B517" s="17"/>
      <c r="C517" s="17"/>
      <c r="D517" s="17"/>
      <c r="E517" s="17"/>
      <c r="F517" s="17" t="s">
        <v>189</v>
      </c>
      <c r="G517" s="240">
        <f>SUM(H517:H517)</f>
        <v>36.7</v>
      </c>
      <c r="H517" s="240">
        <v>36.7</v>
      </c>
      <c r="I517" s="236"/>
      <c r="J517" s="236"/>
      <c r="K517" s="236"/>
      <c r="L517" s="214">
        <f>'ИСПОЛНЕНИЕ 1 КВ.'!H518+'ИСПОЛНЕНИЕ 2 КВ. '!I527</f>
        <v>0</v>
      </c>
      <c r="M517" s="236"/>
    </row>
    <row r="518" spans="1:13" s="21" customFormat="1" ht="12.75" hidden="1">
      <c r="A518" s="7" t="s">
        <v>33</v>
      </c>
      <c r="B518" s="17"/>
      <c r="C518" s="17"/>
      <c r="D518" s="17"/>
      <c r="E518" s="17"/>
      <c r="F518" s="17" t="s">
        <v>191</v>
      </c>
      <c r="G518" s="240">
        <f>SUM(H518:H518)</f>
        <v>0</v>
      </c>
      <c r="H518" s="240"/>
      <c r="I518" s="236"/>
      <c r="J518" s="236"/>
      <c r="K518" s="236"/>
      <c r="L518" s="214">
        <f>'ИСПОЛНЕНИЕ 1 КВ.'!H519+'ИСПОЛНЕНИЕ 2 КВ. '!I528</f>
        <v>0</v>
      </c>
      <c r="M518" s="236"/>
    </row>
    <row r="519" spans="1:13" s="21" customFormat="1" ht="25.5" hidden="1">
      <c r="A519" s="7" t="s">
        <v>34</v>
      </c>
      <c r="B519" s="17"/>
      <c r="C519" s="17"/>
      <c r="D519" s="17"/>
      <c r="E519" s="17"/>
      <c r="F519" s="17" t="s">
        <v>221</v>
      </c>
      <c r="G519" s="240">
        <f>SUM(H519:H519)</f>
        <v>0</v>
      </c>
      <c r="H519" s="240"/>
      <c r="I519" s="236"/>
      <c r="J519" s="236"/>
      <c r="K519" s="236"/>
      <c r="L519" s="214">
        <f>'ИСПОЛНЕНИЕ 1 КВ.'!H520+'ИСПОЛНЕНИЕ 2 КВ. '!I529</f>
        <v>0</v>
      </c>
      <c r="M519" s="236"/>
    </row>
    <row r="520" spans="1:13" s="21" customFormat="1" ht="25.5" hidden="1">
      <c r="A520" s="7" t="s">
        <v>35</v>
      </c>
      <c r="B520" s="17"/>
      <c r="C520" s="17"/>
      <c r="D520" s="17"/>
      <c r="E520" s="17"/>
      <c r="F520" s="17" t="s">
        <v>190</v>
      </c>
      <c r="G520" s="240">
        <f>SUM(H520:H520)</f>
        <v>74</v>
      </c>
      <c r="H520" s="240">
        <v>74</v>
      </c>
      <c r="I520" s="236"/>
      <c r="J520" s="236"/>
      <c r="K520" s="236"/>
      <c r="L520" s="214">
        <f>'ИСПОЛНЕНИЕ 1 КВ.'!H521+'ИСПОЛНЕНИЕ 2 КВ. '!I530</f>
        <v>0</v>
      </c>
      <c r="M520" s="236"/>
    </row>
    <row r="521" spans="1:13" s="21" customFormat="1" ht="51" hidden="1">
      <c r="A521" s="7" t="s">
        <v>36</v>
      </c>
      <c r="B521" s="17"/>
      <c r="C521" s="17"/>
      <c r="D521" s="17"/>
      <c r="E521" s="17"/>
      <c r="F521" s="17" t="s">
        <v>190</v>
      </c>
      <c r="G521" s="240">
        <f>SUM(H521:H521)</f>
        <v>0</v>
      </c>
      <c r="H521" s="240"/>
      <c r="I521" s="236"/>
      <c r="J521" s="236"/>
      <c r="K521" s="236"/>
      <c r="L521" s="214">
        <f>'ИСПОЛНЕНИЕ 1 КВ.'!H522+'ИСПОЛНЕНИЕ 2 КВ. '!I531</f>
        <v>0</v>
      </c>
      <c r="M521" s="236"/>
    </row>
    <row r="522" spans="1:13" s="21" customFormat="1" ht="12.75" hidden="1">
      <c r="A522" s="16" t="s">
        <v>37</v>
      </c>
      <c r="B522" s="17" t="s">
        <v>158</v>
      </c>
      <c r="C522" s="17" t="s">
        <v>140</v>
      </c>
      <c r="D522" s="17" t="s">
        <v>69</v>
      </c>
      <c r="E522" s="17" t="s">
        <v>38</v>
      </c>
      <c r="F522" s="17"/>
      <c r="G522" s="240">
        <f>SUM(G523:G525)</f>
        <v>25.3</v>
      </c>
      <c r="H522" s="240">
        <f>SUM(H523:H525)</f>
        <v>25.3</v>
      </c>
      <c r="I522" s="236"/>
      <c r="J522" s="236"/>
      <c r="K522" s="236"/>
      <c r="L522" s="214">
        <f>'ИСПОЛНЕНИЕ 1 КВ.'!H523+'ИСПОЛНЕНИЕ 2 КВ. '!I532</f>
        <v>0</v>
      </c>
      <c r="M522" s="236"/>
    </row>
    <row r="523" spans="1:13" s="21" customFormat="1" ht="38.25" hidden="1">
      <c r="A523" s="11" t="s">
        <v>39</v>
      </c>
      <c r="B523" s="20"/>
      <c r="C523" s="20"/>
      <c r="D523" s="20"/>
      <c r="E523" s="20"/>
      <c r="F523" s="20" t="s">
        <v>183</v>
      </c>
      <c r="G523" s="236">
        <f>SUM(H523:H523)</f>
        <v>3.7</v>
      </c>
      <c r="H523" s="236">
        <v>3.7</v>
      </c>
      <c r="I523" s="236"/>
      <c r="J523" s="236"/>
      <c r="K523" s="236"/>
      <c r="L523" s="214">
        <f>'ИСПОЛНЕНИЕ 1 КВ.'!H524+'ИСПОЛНЕНИЕ 2 КВ. '!I533</f>
        <v>0</v>
      </c>
      <c r="M523" s="236"/>
    </row>
    <row r="524" spans="1:13" s="21" customFormat="1" ht="38.25" hidden="1">
      <c r="A524" s="19" t="s">
        <v>40</v>
      </c>
      <c r="B524" s="20"/>
      <c r="C524" s="20"/>
      <c r="D524" s="20"/>
      <c r="E524" s="20"/>
      <c r="F524" s="20" t="s">
        <v>222</v>
      </c>
      <c r="G524" s="236">
        <f>SUM(H524:H524)</f>
        <v>0</v>
      </c>
      <c r="H524" s="236"/>
      <c r="I524" s="236"/>
      <c r="J524" s="236"/>
      <c r="K524" s="236"/>
      <c r="L524" s="214">
        <f>'ИСПОЛНЕНИЕ 1 КВ.'!H525+'ИСПОЛНЕНИЕ 2 КВ. '!I534</f>
        <v>0</v>
      </c>
      <c r="M524" s="236"/>
    </row>
    <row r="525" spans="1:13" s="21" customFormat="1" ht="24.75" customHeight="1" hidden="1">
      <c r="A525" s="12" t="s">
        <v>41</v>
      </c>
      <c r="B525" s="20"/>
      <c r="C525" s="20"/>
      <c r="D525" s="20"/>
      <c r="E525" s="20"/>
      <c r="F525" s="20" t="s">
        <v>192</v>
      </c>
      <c r="G525" s="236">
        <f>SUM(H525:H525)</f>
        <v>21.6</v>
      </c>
      <c r="H525" s="236">
        <v>21.6</v>
      </c>
      <c r="I525" s="236"/>
      <c r="J525" s="236"/>
      <c r="K525" s="236"/>
      <c r="L525" s="214">
        <f>'ИСПОЛНЕНИЕ 1 КВ.'!H526+'ИСПОЛНЕНИЕ 2 КВ. '!I535</f>
        <v>0</v>
      </c>
      <c r="M525" s="236"/>
    </row>
    <row r="526" spans="1:13" s="45" customFormat="1" ht="12.75" hidden="1">
      <c r="A526" s="43" t="s">
        <v>42</v>
      </c>
      <c r="B526" s="44" t="s">
        <v>158</v>
      </c>
      <c r="C526" s="44" t="s">
        <v>140</v>
      </c>
      <c r="D526" s="44" t="s">
        <v>69</v>
      </c>
      <c r="E526" s="44" t="s">
        <v>43</v>
      </c>
      <c r="F526" s="44"/>
      <c r="G526" s="239">
        <f>SUM(G527)</f>
        <v>0</v>
      </c>
      <c r="H526" s="239">
        <f>SUM(H527)</f>
        <v>0</v>
      </c>
      <c r="I526" s="239"/>
      <c r="J526" s="239"/>
      <c r="K526" s="239"/>
      <c r="L526" s="214">
        <f>'ИСПОЛНЕНИЕ 1 КВ.'!H527+'ИСПОЛНЕНИЕ 2 КВ. '!I536</f>
        <v>0</v>
      </c>
      <c r="M526" s="239"/>
    </row>
    <row r="527" spans="1:13" s="21" customFormat="1" ht="12.75" hidden="1">
      <c r="A527" s="16" t="s">
        <v>44</v>
      </c>
      <c r="B527" s="17" t="s">
        <v>158</v>
      </c>
      <c r="C527" s="17" t="s">
        <v>140</v>
      </c>
      <c r="D527" s="17" t="s">
        <v>69</v>
      </c>
      <c r="E527" s="17" t="s">
        <v>45</v>
      </c>
      <c r="F527" s="17"/>
      <c r="G527" s="240">
        <f>SUM(H527:H527)</f>
        <v>0</v>
      </c>
      <c r="H527" s="240">
        <f>SUM(H528)</f>
        <v>0</v>
      </c>
      <c r="I527" s="236"/>
      <c r="J527" s="236"/>
      <c r="K527" s="236"/>
      <c r="L527" s="214">
        <f>'ИСПОЛНЕНИЕ 1 КВ.'!H528+'ИСПОЛНЕНИЕ 2 КВ. '!I537</f>
        <v>0</v>
      </c>
      <c r="M527" s="236"/>
    </row>
    <row r="528" spans="1:13" s="21" customFormat="1" ht="12.75" hidden="1">
      <c r="A528" s="6" t="s">
        <v>46</v>
      </c>
      <c r="B528" s="20"/>
      <c r="C528" s="20"/>
      <c r="D528" s="20"/>
      <c r="E528" s="20"/>
      <c r="F528" s="20"/>
      <c r="G528" s="236">
        <f>SUM(H528:H528)</f>
        <v>0</v>
      </c>
      <c r="H528" s="236"/>
      <c r="I528" s="236"/>
      <c r="J528" s="236"/>
      <c r="K528" s="236"/>
      <c r="L528" s="214">
        <f>'ИСПОЛНЕНИЕ 1 КВ.'!H529+'ИСПОЛНЕНИЕ 2 КВ. '!I538</f>
        <v>0</v>
      </c>
      <c r="M528" s="236"/>
    </row>
    <row r="529" spans="1:13" s="45" customFormat="1" ht="12.75" hidden="1">
      <c r="A529" s="43" t="s">
        <v>47</v>
      </c>
      <c r="B529" s="44" t="s">
        <v>158</v>
      </c>
      <c r="C529" s="44" t="s">
        <v>140</v>
      </c>
      <c r="D529" s="44" t="s">
        <v>69</v>
      </c>
      <c r="E529" s="44" t="s">
        <v>48</v>
      </c>
      <c r="F529" s="44"/>
      <c r="G529" s="239">
        <f>SUM(H529:H529)</f>
        <v>45</v>
      </c>
      <c r="H529" s="239">
        <f>SUM(H530)</f>
        <v>45</v>
      </c>
      <c r="I529" s="239"/>
      <c r="J529" s="239"/>
      <c r="K529" s="239"/>
      <c r="L529" s="214">
        <f>'ИСПОЛНЕНИЕ 1 КВ.'!H530+'ИСПОЛНЕНИЕ 2 КВ. '!I539</f>
        <v>0</v>
      </c>
      <c r="M529" s="239"/>
    </row>
    <row r="530" spans="1:13" s="21" customFormat="1" ht="25.5" customHeight="1" hidden="1">
      <c r="A530" s="12" t="s">
        <v>41</v>
      </c>
      <c r="B530" s="20"/>
      <c r="C530" s="20"/>
      <c r="D530" s="20"/>
      <c r="E530" s="20"/>
      <c r="F530" s="20"/>
      <c r="G530" s="236">
        <f>SUM(H530:H530)</f>
        <v>45</v>
      </c>
      <c r="H530" s="236">
        <v>45</v>
      </c>
      <c r="I530" s="236"/>
      <c r="J530" s="236"/>
      <c r="K530" s="236"/>
      <c r="L530" s="214">
        <f>'ИСПОЛНЕНИЕ 1 КВ.'!H531+'ИСПОЛНЕНИЕ 2 КВ. '!I540</f>
        <v>0</v>
      </c>
      <c r="M530" s="236"/>
    </row>
    <row r="531" spans="1:13" s="45" customFormat="1" ht="12.75" hidden="1">
      <c r="A531" s="43" t="s">
        <v>49</v>
      </c>
      <c r="B531" s="44" t="s">
        <v>158</v>
      </c>
      <c r="C531" s="44" t="s">
        <v>140</v>
      </c>
      <c r="D531" s="44" t="s">
        <v>69</v>
      </c>
      <c r="E531" s="44" t="s">
        <v>50</v>
      </c>
      <c r="F531" s="44"/>
      <c r="G531" s="239">
        <f>SUM(G532,G536)</f>
        <v>67.5</v>
      </c>
      <c r="H531" s="239">
        <f>SUM(H532,H536)</f>
        <v>67.5</v>
      </c>
      <c r="I531" s="239"/>
      <c r="J531" s="239"/>
      <c r="K531" s="239"/>
      <c r="L531" s="214">
        <f>'ИСПОЛНЕНИЕ 1 КВ.'!H532+'ИСПОЛНЕНИЕ 2 КВ. '!I541</f>
        <v>0</v>
      </c>
      <c r="M531" s="239"/>
    </row>
    <row r="532" spans="1:13" s="21" customFormat="1" ht="12.75" hidden="1">
      <c r="A532" s="16" t="s">
        <v>51</v>
      </c>
      <c r="B532" s="17" t="s">
        <v>158</v>
      </c>
      <c r="C532" s="17" t="s">
        <v>140</v>
      </c>
      <c r="D532" s="17" t="s">
        <v>69</v>
      </c>
      <c r="E532" s="17" t="s">
        <v>52</v>
      </c>
      <c r="F532" s="17"/>
      <c r="G532" s="240">
        <f>SUM(G533:G535)</f>
        <v>35</v>
      </c>
      <c r="H532" s="240">
        <f>SUM(H533:H535)</f>
        <v>35</v>
      </c>
      <c r="I532" s="236"/>
      <c r="J532" s="236"/>
      <c r="K532" s="236"/>
      <c r="L532" s="214">
        <f>'ИСПОЛНЕНИЕ 1 КВ.'!H533+'ИСПОЛНЕНИЕ 2 КВ. '!I542</f>
        <v>0</v>
      </c>
      <c r="M532" s="236"/>
    </row>
    <row r="533" spans="1:13" s="21" customFormat="1" ht="12.75" hidden="1">
      <c r="A533" s="7" t="s">
        <v>53</v>
      </c>
      <c r="B533" s="20"/>
      <c r="C533" s="20"/>
      <c r="D533" s="20"/>
      <c r="E533" s="20"/>
      <c r="F533" s="20" t="s">
        <v>223</v>
      </c>
      <c r="G533" s="236">
        <f>SUM(H533:H533)</f>
        <v>10</v>
      </c>
      <c r="H533" s="236">
        <v>10</v>
      </c>
      <c r="I533" s="236"/>
      <c r="J533" s="236"/>
      <c r="K533" s="236"/>
      <c r="L533" s="214">
        <f>'ИСПОЛНЕНИЕ 1 КВ.'!H534+'ИСПОЛНЕНИЕ 2 КВ. '!I543</f>
        <v>0</v>
      </c>
      <c r="M533" s="236"/>
    </row>
    <row r="534" spans="1:13" s="21" customFormat="1" ht="51" hidden="1">
      <c r="A534" s="7" t="s">
        <v>54</v>
      </c>
      <c r="B534" s="20"/>
      <c r="C534" s="20"/>
      <c r="D534" s="20"/>
      <c r="E534" s="20"/>
      <c r="F534" s="20" t="s">
        <v>194</v>
      </c>
      <c r="G534" s="236">
        <f>SUM(H534:H534)</f>
        <v>25</v>
      </c>
      <c r="H534" s="236">
        <v>25</v>
      </c>
      <c r="I534" s="236"/>
      <c r="J534" s="236"/>
      <c r="K534" s="236"/>
      <c r="L534" s="214">
        <f>'ИСПОЛНЕНИЕ 1 КВ.'!H535+'ИСПОЛНЕНИЕ 2 КВ. '!I544</f>
        <v>0</v>
      </c>
      <c r="M534" s="236"/>
    </row>
    <row r="535" spans="1:13" s="21" customFormat="1" ht="48" customHeight="1" hidden="1">
      <c r="A535" s="7" t="s">
        <v>55</v>
      </c>
      <c r="B535" s="20"/>
      <c r="C535" s="20"/>
      <c r="D535" s="20"/>
      <c r="E535" s="20"/>
      <c r="F535" s="20" t="s">
        <v>193</v>
      </c>
      <c r="G535" s="236">
        <f>SUM(H535:H535)</f>
        <v>0</v>
      </c>
      <c r="H535" s="236"/>
      <c r="I535" s="236"/>
      <c r="J535" s="236"/>
      <c r="K535" s="236"/>
      <c r="L535" s="214">
        <f>'ИСПОЛНЕНИЕ 1 КВ.'!H536+'ИСПОЛНЕНИЕ 2 КВ. '!I545</f>
        <v>0</v>
      </c>
      <c r="M535" s="236"/>
    </row>
    <row r="536" spans="1:13" s="21" customFormat="1" ht="15" customHeight="1" hidden="1">
      <c r="A536" s="16" t="s">
        <v>56</v>
      </c>
      <c r="B536" s="17" t="s">
        <v>158</v>
      </c>
      <c r="C536" s="17" t="s">
        <v>140</v>
      </c>
      <c r="D536" s="17" t="s">
        <v>69</v>
      </c>
      <c r="E536" s="17" t="s">
        <v>57</v>
      </c>
      <c r="F536" s="17"/>
      <c r="G536" s="240">
        <f>SUM(G537:G540)</f>
        <v>32.5</v>
      </c>
      <c r="H536" s="240">
        <f>SUM(H537:H540)</f>
        <v>32.5</v>
      </c>
      <c r="I536" s="236"/>
      <c r="J536" s="236"/>
      <c r="K536" s="236"/>
      <c r="L536" s="214">
        <f>'ИСПОЛНЕНИЕ 1 КВ.'!H537+'ИСПОЛНЕНИЕ 2 КВ. '!I546</f>
        <v>0</v>
      </c>
      <c r="M536" s="236"/>
    </row>
    <row r="537" spans="1:13" s="21" customFormat="1" ht="25.5" hidden="1">
      <c r="A537" s="7" t="s">
        <v>58</v>
      </c>
      <c r="B537" s="20"/>
      <c r="C537" s="20"/>
      <c r="D537" s="20"/>
      <c r="E537" s="20"/>
      <c r="F537" s="20" t="s">
        <v>195</v>
      </c>
      <c r="G537" s="236">
        <f>SUM(H537:H537)</f>
        <v>2.5</v>
      </c>
      <c r="H537" s="236">
        <v>2.5</v>
      </c>
      <c r="I537" s="236"/>
      <c r="J537" s="236"/>
      <c r="K537" s="236"/>
      <c r="L537" s="214">
        <f>'ИСПОЛНЕНИЕ 1 КВ.'!H538+'ИСПОЛНЕНИЕ 2 КВ. '!I547</f>
        <v>0</v>
      </c>
      <c r="M537" s="236"/>
    </row>
    <row r="538" spans="1:13" s="21" customFormat="1" ht="12.75" hidden="1">
      <c r="A538" s="7" t="s">
        <v>59</v>
      </c>
      <c r="B538" s="20"/>
      <c r="C538" s="20"/>
      <c r="D538" s="20"/>
      <c r="E538" s="20"/>
      <c r="F538" s="20" t="s">
        <v>196</v>
      </c>
      <c r="G538" s="236">
        <f>SUM(H538:H538)</f>
        <v>0</v>
      </c>
      <c r="H538" s="236"/>
      <c r="I538" s="236"/>
      <c r="J538" s="236"/>
      <c r="K538" s="236"/>
      <c r="L538" s="214">
        <f>'ИСПОЛНЕНИЕ 1 КВ.'!H539+'ИСПОЛНЕНИЕ 2 КВ. '!I548</f>
        <v>0</v>
      </c>
      <c r="M538" s="236"/>
    </row>
    <row r="539" spans="1:13" s="21" customFormat="1" ht="12.75" hidden="1">
      <c r="A539" s="7" t="s">
        <v>60</v>
      </c>
      <c r="B539" s="20"/>
      <c r="C539" s="20"/>
      <c r="D539" s="20"/>
      <c r="E539" s="20"/>
      <c r="F539" s="20" t="s">
        <v>197</v>
      </c>
      <c r="G539" s="236">
        <f>SUM(H539:H539)</f>
        <v>0</v>
      </c>
      <c r="H539" s="236"/>
      <c r="I539" s="236"/>
      <c r="J539" s="236"/>
      <c r="K539" s="236"/>
      <c r="L539" s="214">
        <f>'ИСПОЛНЕНИЕ 1 КВ.'!H540+'ИСПОЛНЕНИЕ 2 КВ. '!I549</f>
        <v>0</v>
      </c>
      <c r="M539" s="236"/>
    </row>
    <row r="540" spans="1:13" s="21" customFormat="1" ht="38.25" hidden="1">
      <c r="A540" s="7" t="s">
        <v>61</v>
      </c>
      <c r="B540" s="20"/>
      <c r="C540" s="20"/>
      <c r="D540" s="20"/>
      <c r="E540" s="20"/>
      <c r="F540" s="20" t="s">
        <v>198</v>
      </c>
      <c r="G540" s="236">
        <f>SUM(H540:H540)</f>
        <v>30</v>
      </c>
      <c r="H540" s="236">
        <v>30</v>
      </c>
      <c r="I540" s="236"/>
      <c r="J540" s="236"/>
      <c r="K540" s="236"/>
      <c r="L540" s="214">
        <f>'ИСПОЛНЕНИЕ 1 КВ.'!H541+'ИСПОЛНЕНИЕ 2 КВ. '!I550</f>
        <v>0</v>
      </c>
      <c r="M540" s="236"/>
    </row>
    <row r="541" spans="1:14" s="21" customFormat="1" ht="12.75" hidden="1">
      <c r="A541" s="23" t="s">
        <v>73</v>
      </c>
      <c r="B541" s="24" t="s">
        <v>158</v>
      </c>
      <c r="C541" s="24" t="s">
        <v>140</v>
      </c>
      <c r="D541" s="24" t="s">
        <v>69</v>
      </c>
      <c r="E541" s="24"/>
      <c r="F541" s="24"/>
      <c r="G541" s="253">
        <f>SUM(H541:H541)</f>
        <v>1291</v>
      </c>
      <c r="H541" s="253">
        <f>SUM(H542,H550,H570,H573,H575)</f>
        <v>1291</v>
      </c>
      <c r="I541" s="236"/>
      <c r="J541" s="253"/>
      <c r="K541" s="253"/>
      <c r="L541" s="214">
        <f>'ИСПОЛНЕНИЕ 1 КВ.'!H542+'ИСПОЛНЕНИЕ 2 КВ. '!I551</f>
        <v>0</v>
      </c>
      <c r="M541" s="253"/>
      <c r="N541" s="73"/>
    </row>
    <row r="542" spans="1:14" s="45" customFormat="1" ht="16.5" customHeight="1" hidden="1">
      <c r="A542" s="43" t="s">
        <v>4</v>
      </c>
      <c r="B542" s="44" t="s">
        <v>158</v>
      </c>
      <c r="C542" s="44" t="s">
        <v>140</v>
      </c>
      <c r="D542" s="44" t="s">
        <v>69</v>
      </c>
      <c r="E542" s="44" t="s">
        <v>5</v>
      </c>
      <c r="F542" s="44"/>
      <c r="G542" s="239">
        <f>SUM(G543,G544,G549)</f>
        <v>1109.3</v>
      </c>
      <c r="H542" s="239">
        <f>SUM(H543,H544,H549)</f>
        <v>1109.3</v>
      </c>
      <c r="I542" s="239"/>
      <c r="J542" s="239"/>
      <c r="K542" s="239"/>
      <c r="L542" s="214">
        <f>'ИСПОЛНЕНИЕ 1 КВ.'!H543+'ИСПОЛНЕНИЕ 2 КВ. '!I552</f>
        <v>0</v>
      </c>
      <c r="M542" s="239"/>
      <c r="N542" s="93"/>
    </row>
    <row r="543" spans="1:14" s="21" customFormat="1" ht="12.75" hidden="1">
      <c r="A543" s="16" t="s">
        <v>6</v>
      </c>
      <c r="B543" s="17" t="s">
        <v>207</v>
      </c>
      <c r="C543" s="17" t="s">
        <v>140</v>
      </c>
      <c r="D543" s="17" t="s">
        <v>69</v>
      </c>
      <c r="E543" s="17" t="s">
        <v>7</v>
      </c>
      <c r="F543" s="17"/>
      <c r="G543" s="240">
        <f>SUM(H543:H543)</f>
        <v>740</v>
      </c>
      <c r="H543" s="240">
        <v>740</v>
      </c>
      <c r="I543" s="236"/>
      <c r="J543" s="240"/>
      <c r="K543" s="240"/>
      <c r="L543" s="214">
        <f>'ИСПОЛНЕНИЕ 1 КВ.'!H544+'ИСПОЛНЕНИЕ 2 КВ. '!I553</f>
        <v>0</v>
      </c>
      <c r="M543" s="240"/>
      <c r="N543" s="74"/>
    </row>
    <row r="544" spans="1:14" s="21" customFormat="1" ht="12.75" hidden="1">
      <c r="A544" s="16" t="s">
        <v>8</v>
      </c>
      <c r="B544" s="17" t="s">
        <v>207</v>
      </c>
      <c r="C544" s="17" t="s">
        <v>140</v>
      </c>
      <c r="D544" s="17" t="s">
        <v>69</v>
      </c>
      <c r="E544" s="17" t="s">
        <v>9</v>
      </c>
      <c r="F544" s="17"/>
      <c r="G544" s="240">
        <f>SUM(G545:G548)</f>
        <v>175.3</v>
      </c>
      <c r="H544" s="240">
        <f>SUM(H545:H548)</f>
        <v>175.3</v>
      </c>
      <c r="I544" s="236"/>
      <c r="J544" s="240"/>
      <c r="K544" s="240"/>
      <c r="L544" s="214">
        <f>'ИСПОЛНЕНИЕ 1 КВ.'!H545+'ИСПОЛНЕНИЕ 2 КВ. '!I554</f>
        <v>0</v>
      </c>
      <c r="M544" s="240"/>
      <c r="N544" s="74"/>
    </row>
    <row r="545" spans="1:14" s="21" customFormat="1" ht="25.5" hidden="1">
      <c r="A545" s="11" t="s">
        <v>10</v>
      </c>
      <c r="B545" s="4"/>
      <c r="C545" s="4"/>
      <c r="D545" s="4"/>
      <c r="E545" s="4"/>
      <c r="F545" s="4" t="s">
        <v>183</v>
      </c>
      <c r="G545" s="250">
        <f aca="true" t="shared" si="63" ref="G545:G551">SUM(H545:H545)</f>
        <v>0.6</v>
      </c>
      <c r="H545" s="250">
        <v>0.6</v>
      </c>
      <c r="I545" s="236"/>
      <c r="J545" s="250"/>
      <c r="K545" s="250"/>
      <c r="L545" s="214">
        <f>'ИСПОЛНЕНИЕ 1 КВ.'!H546+'ИСПОЛНЕНИЕ 2 КВ. '!I555</f>
        <v>0</v>
      </c>
      <c r="M545" s="250"/>
      <c r="N545" s="75"/>
    </row>
    <row r="546" spans="1:14" s="21" customFormat="1" ht="14.25" customHeight="1" hidden="1">
      <c r="A546" s="12" t="s">
        <v>11</v>
      </c>
      <c r="B546" s="4"/>
      <c r="C546" s="4"/>
      <c r="D546" s="4"/>
      <c r="E546" s="4"/>
      <c r="F546" s="4" t="s">
        <v>200</v>
      </c>
      <c r="G546" s="250">
        <f t="shared" si="63"/>
        <v>20.7</v>
      </c>
      <c r="H546" s="250">
        <v>20.7</v>
      </c>
      <c r="I546" s="236"/>
      <c r="J546" s="250"/>
      <c r="K546" s="250"/>
      <c r="L546" s="214">
        <f>'ИСПОЛНЕНИЕ 1 КВ.'!H547+'ИСПОЛНЕНИЕ 2 КВ. '!I556</f>
        <v>0</v>
      </c>
      <c r="M546" s="250"/>
      <c r="N546" s="75"/>
    </row>
    <row r="547" spans="1:14" s="30" customFormat="1" ht="12.75" hidden="1">
      <c r="A547" s="65" t="s">
        <v>130</v>
      </c>
      <c r="B547" s="29"/>
      <c r="C547" s="29"/>
      <c r="D547" s="29"/>
      <c r="E547" s="29"/>
      <c r="F547" s="29" t="s">
        <v>199</v>
      </c>
      <c r="G547" s="254">
        <f t="shared" si="63"/>
        <v>4</v>
      </c>
      <c r="H547" s="254">
        <v>4</v>
      </c>
      <c r="I547" s="254"/>
      <c r="J547" s="254"/>
      <c r="K547" s="254"/>
      <c r="L547" s="214">
        <f>'ИСПОЛНЕНИЕ 1 КВ.'!H548+'ИСПОЛНЕНИЕ 2 КВ. '!I557</f>
        <v>0</v>
      </c>
      <c r="M547" s="254"/>
      <c r="N547" s="76"/>
    </row>
    <row r="548" spans="1:14" s="21" customFormat="1" ht="25.5" hidden="1">
      <c r="A548" s="6" t="s">
        <v>12</v>
      </c>
      <c r="B548" s="4"/>
      <c r="C548" s="4"/>
      <c r="D548" s="4"/>
      <c r="E548" s="4"/>
      <c r="F548" s="4" t="s">
        <v>184</v>
      </c>
      <c r="G548" s="250">
        <f t="shared" si="63"/>
        <v>150</v>
      </c>
      <c r="H548" s="240">
        <v>150</v>
      </c>
      <c r="I548" s="236"/>
      <c r="J548" s="250"/>
      <c r="K548" s="240"/>
      <c r="L548" s="214">
        <f>'ИСПОЛНЕНИЕ 1 КВ.'!H549+'ИСПОЛНЕНИЕ 2 КВ. '!I558</f>
        <v>0</v>
      </c>
      <c r="M548" s="240"/>
      <c r="N548" s="75"/>
    </row>
    <row r="549" spans="1:14" s="21" customFormat="1" ht="12.75" hidden="1">
      <c r="A549" s="16" t="s">
        <v>13</v>
      </c>
      <c r="B549" s="17" t="s">
        <v>207</v>
      </c>
      <c r="C549" s="17" t="s">
        <v>140</v>
      </c>
      <c r="D549" s="17" t="s">
        <v>69</v>
      </c>
      <c r="E549" s="17" t="s">
        <v>14</v>
      </c>
      <c r="F549" s="17"/>
      <c r="G549" s="249">
        <f t="shared" si="63"/>
        <v>194</v>
      </c>
      <c r="H549" s="240">
        <v>194</v>
      </c>
      <c r="I549" s="236"/>
      <c r="J549" s="249"/>
      <c r="K549" s="240"/>
      <c r="L549" s="214">
        <f>'ИСПОЛНЕНИЕ 1 КВ.'!H550+'ИСПОЛНЕНИЕ 2 КВ. '!I559</f>
        <v>0</v>
      </c>
      <c r="M549" s="240"/>
      <c r="N549" s="74"/>
    </row>
    <row r="550" spans="1:14" s="45" customFormat="1" ht="12.75" hidden="1">
      <c r="A550" s="43" t="s">
        <v>15</v>
      </c>
      <c r="B550" s="44" t="s">
        <v>207</v>
      </c>
      <c r="C550" s="44" t="s">
        <v>140</v>
      </c>
      <c r="D550" s="44" t="s">
        <v>69</v>
      </c>
      <c r="E550" s="44" t="s">
        <v>16</v>
      </c>
      <c r="F550" s="44"/>
      <c r="G550" s="239">
        <f t="shared" si="63"/>
        <v>179.2</v>
      </c>
      <c r="H550" s="239">
        <f>SUM(H551:H552,H555,H559,H560,H566,)</f>
        <v>179.2</v>
      </c>
      <c r="I550" s="239"/>
      <c r="J550" s="239"/>
      <c r="K550" s="239"/>
      <c r="L550" s="214">
        <f>'ИСПОЛНЕНИЕ 1 КВ.'!H551+'ИСПОЛНЕНИЕ 2 КВ. '!I560</f>
        <v>0</v>
      </c>
      <c r="M550" s="239"/>
      <c r="N550" s="93"/>
    </row>
    <row r="551" spans="1:14" s="21" customFormat="1" ht="12.75" hidden="1">
      <c r="A551" s="16" t="s">
        <v>17</v>
      </c>
      <c r="B551" s="17" t="s">
        <v>207</v>
      </c>
      <c r="C551" s="17" t="s">
        <v>140</v>
      </c>
      <c r="D551" s="17" t="s">
        <v>69</v>
      </c>
      <c r="E551" s="17" t="s">
        <v>18</v>
      </c>
      <c r="F551" s="17"/>
      <c r="G551" s="240">
        <f t="shared" si="63"/>
        <v>6.5</v>
      </c>
      <c r="H551" s="240">
        <v>6.5</v>
      </c>
      <c r="I551" s="236"/>
      <c r="J551" s="240"/>
      <c r="K551" s="240"/>
      <c r="L551" s="214">
        <f>'ИСПОЛНЕНИЕ 1 КВ.'!H552+'ИСПОЛНЕНИЕ 2 КВ. '!I561</f>
        <v>0</v>
      </c>
      <c r="M551" s="240"/>
      <c r="N551" s="74"/>
    </row>
    <row r="552" spans="1:14" s="21" customFormat="1" ht="12.75" hidden="1">
      <c r="A552" s="16" t="s">
        <v>21</v>
      </c>
      <c r="B552" s="17" t="s">
        <v>207</v>
      </c>
      <c r="C552" s="17" t="s">
        <v>140</v>
      </c>
      <c r="D552" s="17" t="s">
        <v>69</v>
      </c>
      <c r="E552" s="17" t="s">
        <v>19</v>
      </c>
      <c r="F552" s="17"/>
      <c r="G552" s="240">
        <f>SUM(G553:G554)</f>
        <v>10.5</v>
      </c>
      <c r="H552" s="240">
        <f>SUM(H553:H554)</f>
        <v>10.5</v>
      </c>
      <c r="I552" s="236"/>
      <c r="J552" s="240"/>
      <c r="K552" s="240"/>
      <c r="L552" s="214">
        <f>'ИСПОЛНЕНИЕ 1 КВ.'!H553+'ИСПОЛНЕНИЕ 2 КВ. '!I562</f>
        <v>0</v>
      </c>
      <c r="M552" s="240"/>
      <c r="N552" s="74"/>
    </row>
    <row r="553" spans="1:14" s="21" customFormat="1" ht="25.5" hidden="1">
      <c r="A553" s="11" t="s">
        <v>20</v>
      </c>
      <c r="B553" s="4"/>
      <c r="C553" s="4"/>
      <c r="D553" s="4"/>
      <c r="E553" s="4"/>
      <c r="F553" s="4" t="s">
        <v>183</v>
      </c>
      <c r="G553" s="250">
        <f>SUM(H553:H553)</f>
        <v>10.5</v>
      </c>
      <c r="H553" s="250">
        <v>10.5</v>
      </c>
      <c r="I553" s="236"/>
      <c r="J553" s="250"/>
      <c r="K553" s="250"/>
      <c r="L553" s="214">
        <f>'ИСПОЛНЕНИЕ 1 КВ.'!H554+'ИСПОЛНЕНИЕ 2 КВ. '!I563</f>
        <v>0</v>
      </c>
      <c r="M553" s="250"/>
      <c r="N553" s="75"/>
    </row>
    <row r="554" spans="1:14" s="21" customFormat="1" ht="38.25" hidden="1">
      <c r="A554" s="8" t="s">
        <v>22</v>
      </c>
      <c r="B554" s="4"/>
      <c r="C554" s="4"/>
      <c r="D554" s="4"/>
      <c r="E554" s="4"/>
      <c r="F554" s="4" t="s">
        <v>185</v>
      </c>
      <c r="G554" s="250">
        <f>SUM(H554:H554)</f>
        <v>0</v>
      </c>
      <c r="H554" s="250"/>
      <c r="I554" s="236"/>
      <c r="J554" s="250"/>
      <c r="K554" s="250"/>
      <c r="L554" s="214">
        <f>'ИСПОЛНЕНИЕ 1 КВ.'!H555+'ИСПОЛНЕНИЕ 2 КВ. '!I564</f>
        <v>0</v>
      </c>
      <c r="M554" s="250"/>
      <c r="N554" s="75"/>
    </row>
    <row r="555" spans="1:14" s="21" customFormat="1" ht="12.75" hidden="1">
      <c r="A555" s="16" t="s">
        <v>23</v>
      </c>
      <c r="B555" s="17" t="s">
        <v>207</v>
      </c>
      <c r="C555" s="17" t="s">
        <v>140</v>
      </c>
      <c r="D555" s="17" t="s">
        <v>69</v>
      </c>
      <c r="E555" s="17" t="s">
        <v>24</v>
      </c>
      <c r="F555" s="17"/>
      <c r="G555" s="240">
        <f>SUM(G556:G558)</f>
        <v>141.2</v>
      </c>
      <c r="H555" s="240">
        <f>SUM(H556:H558)</f>
        <v>141.2</v>
      </c>
      <c r="I555" s="236"/>
      <c r="J555" s="240"/>
      <c r="K555" s="240"/>
      <c r="L555" s="214">
        <f>'ИСПОЛНЕНИЕ 1 КВ.'!H556+'ИСПОЛНЕНИЕ 2 КВ. '!I565</f>
        <v>0</v>
      </c>
      <c r="M555" s="240"/>
      <c r="N555" s="74"/>
    </row>
    <row r="556" spans="1:14" s="21" customFormat="1" ht="25.5" hidden="1">
      <c r="A556" s="7" t="s">
        <v>25</v>
      </c>
      <c r="B556" s="4"/>
      <c r="C556" s="4"/>
      <c r="D556" s="4"/>
      <c r="E556" s="4"/>
      <c r="F556" s="4" t="s">
        <v>186</v>
      </c>
      <c r="G556" s="250">
        <f>SUM(H556:H556)</f>
        <v>137.1</v>
      </c>
      <c r="H556" s="250">
        <v>137.1</v>
      </c>
      <c r="I556" s="236"/>
      <c r="J556" s="250"/>
      <c r="K556" s="250"/>
      <c r="L556" s="214">
        <f>'ИСПОЛНЕНИЕ 1 КВ.'!H557+'ИСПОЛНЕНИЕ 2 КВ. '!I566</f>
        <v>0</v>
      </c>
      <c r="M556" s="250"/>
      <c r="N556" s="75"/>
    </row>
    <row r="557" spans="1:14" s="21" customFormat="1" ht="25.5" customHeight="1" hidden="1">
      <c r="A557" s="7" t="s">
        <v>26</v>
      </c>
      <c r="B557" s="4"/>
      <c r="C557" s="4"/>
      <c r="D557" s="4"/>
      <c r="E557" s="4"/>
      <c r="F557" s="4" t="s">
        <v>187</v>
      </c>
      <c r="G557" s="250">
        <f>SUM(H557:H557)</f>
        <v>1.5</v>
      </c>
      <c r="H557" s="250">
        <v>1.5</v>
      </c>
      <c r="I557" s="236"/>
      <c r="J557" s="250"/>
      <c r="K557" s="250"/>
      <c r="L557" s="214">
        <f>'ИСПОЛНЕНИЕ 1 КВ.'!H558+'ИСПОЛНЕНИЕ 2 КВ. '!I567</f>
        <v>0</v>
      </c>
      <c r="M557" s="250"/>
      <c r="N557" s="75"/>
    </row>
    <row r="558" spans="1:14" s="21" customFormat="1" ht="12.75" hidden="1">
      <c r="A558" s="7" t="s">
        <v>27</v>
      </c>
      <c r="B558" s="4"/>
      <c r="C558" s="4"/>
      <c r="D558" s="4"/>
      <c r="E558" s="4"/>
      <c r="F558" s="4" t="s">
        <v>188</v>
      </c>
      <c r="G558" s="250">
        <f>SUM(H558:H558)</f>
        <v>2.6</v>
      </c>
      <c r="H558" s="250">
        <v>2.6</v>
      </c>
      <c r="I558" s="236"/>
      <c r="J558" s="250"/>
      <c r="K558" s="250"/>
      <c r="L558" s="214">
        <f>'ИСПОЛНЕНИЕ 1 КВ.'!H559+'ИСПОЛНЕНИЕ 2 КВ. '!I568</f>
        <v>0</v>
      </c>
      <c r="M558" s="250"/>
      <c r="N558" s="75"/>
    </row>
    <row r="559" spans="1:14" s="21" customFormat="1" ht="15.75" customHeight="1" hidden="1">
      <c r="A559" s="16" t="s">
        <v>28</v>
      </c>
      <c r="B559" s="17" t="s">
        <v>207</v>
      </c>
      <c r="C559" s="17" t="s">
        <v>140</v>
      </c>
      <c r="D559" s="17" t="s">
        <v>69</v>
      </c>
      <c r="E559" s="17" t="s">
        <v>29</v>
      </c>
      <c r="F559" s="17"/>
      <c r="G559" s="250">
        <f>SUM(H559:H559)</f>
        <v>0</v>
      </c>
      <c r="H559" s="240"/>
      <c r="I559" s="236"/>
      <c r="J559" s="250"/>
      <c r="K559" s="240"/>
      <c r="L559" s="214">
        <f>'ИСПОЛНЕНИЕ 1 КВ.'!H560+'ИСПОЛНЕНИЕ 2 КВ. '!I569</f>
        <v>0</v>
      </c>
      <c r="M559" s="240"/>
      <c r="N559" s="74"/>
    </row>
    <row r="560" spans="1:14" s="21" customFormat="1" ht="12.75" hidden="1">
      <c r="A560" s="16" t="s">
        <v>30</v>
      </c>
      <c r="B560" s="17" t="s">
        <v>207</v>
      </c>
      <c r="C560" s="17" t="s">
        <v>140</v>
      </c>
      <c r="D560" s="17" t="s">
        <v>69</v>
      </c>
      <c r="E560" s="17" t="s">
        <v>31</v>
      </c>
      <c r="F560" s="17"/>
      <c r="G560" s="240">
        <f>SUM(G561:G565)</f>
        <v>7.8</v>
      </c>
      <c r="H560" s="240">
        <f>SUM(H561:H565)</f>
        <v>7.8</v>
      </c>
      <c r="I560" s="236"/>
      <c r="J560" s="240"/>
      <c r="K560" s="240"/>
      <c r="L560" s="214">
        <f>'ИСПОЛНЕНИЕ 1 КВ.'!H561+'ИСПОЛНЕНИЕ 2 КВ. '!I570</f>
        <v>0</v>
      </c>
      <c r="M560" s="240"/>
      <c r="N560" s="74"/>
    </row>
    <row r="561" spans="1:14" s="21" customFormat="1" ht="12.75" hidden="1">
      <c r="A561" s="7" t="s">
        <v>32</v>
      </c>
      <c r="B561" s="17"/>
      <c r="C561" s="17"/>
      <c r="D561" s="17"/>
      <c r="E561" s="17"/>
      <c r="F561" s="17" t="s">
        <v>189</v>
      </c>
      <c r="G561" s="240">
        <f>SUM(H561:H561)</f>
        <v>7.8</v>
      </c>
      <c r="H561" s="240">
        <v>7.8</v>
      </c>
      <c r="I561" s="236"/>
      <c r="J561" s="240"/>
      <c r="K561" s="240"/>
      <c r="L561" s="214">
        <f>'ИСПОЛНЕНИЕ 1 КВ.'!H562+'ИСПОЛНЕНИЕ 2 КВ. '!I571</f>
        <v>0</v>
      </c>
      <c r="M561" s="240"/>
      <c r="N561" s="74"/>
    </row>
    <row r="562" spans="1:14" s="21" customFormat="1" ht="12.75" hidden="1">
      <c r="A562" s="7" t="s">
        <v>33</v>
      </c>
      <c r="B562" s="17"/>
      <c r="C562" s="17"/>
      <c r="D562" s="17"/>
      <c r="E562" s="17"/>
      <c r="F562" s="17" t="s">
        <v>191</v>
      </c>
      <c r="G562" s="240">
        <f>SUM(H562:H562)</f>
        <v>0</v>
      </c>
      <c r="H562" s="240"/>
      <c r="I562" s="236"/>
      <c r="J562" s="240"/>
      <c r="K562" s="240"/>
      <c r="L562" s="214">
        <f>'ИСПОЛНЕНИЕ 1 КВ.'!H563+'ИСПОЛНЕНИЕ 2 КВ. '!I572</f>
        <v>0</v>
      </c>
      <c r="M562" s="240"/>
      <c r="N562" s="74"/>
    </row>
    <row r="563" spans="1:14" s="21" customFormat="1" ht="25.5" hidden="1">
      <c r="A563" s="7" t="s">
        <v>34</v>
      </c>
      <c r="B563" s="17"/>
      <c r="C563" s="17"/>
      <c r="D563" s="17"/>
      <c r="E563" s="17"/>
      <c r="F563" s="17" t="s">
        <v>221</v>
      </c>
      <c r="G563" s="240">
        <f>SUM(H563:H563)</f>
        <v>0</v>
      </c>
      <c r="H563" s="240"/>
      <c r="I563" s="236"/>
      <c r="J563" s="240"/>
      <c r="K563" s="240"/>
      <c r="L563" s="214">
        <f>'ИСПОЛНЕНИЕ 1 КВ.'!H564+'ИСПОЛНЕНИЕ 2 КВ. '!I573</f>
        <v>0</v>
      </c>
      <c r="M563" s="240"/>
      <c r="N563" s="74"/>
    </row>
    <row r="564" spans="1:14" s="21" customFormat="1" ht="25.5" hidden="1">
      <c r="A564" s="7" t="s">
        <v>35</v>
      </c>
      <c r="B564" s="17"/>
      <c r="C564" s="17"/>
      <c r="D564" s="17"/>
      <c r="E564" s="17"/>
      <c r="F564" s="17" t="s">
        <v>190</v>
      </c>
      <c r="G564" s="240">
        <f>SUM(H564:H564)</f>
        <v>0</v>
      </c>
      <c r="H564" s="240"/>
      <c r="I564" s="236"/>
      <c r="J564" s="240"/>
      <c r="K564" s="240"/>
      <c r="L564" s="214">
        <f>'ИСПОЛНЕНИЕ 1 КВ.'!H565+'ИСПОЛНЕНИЕ 2 КВ. '!I574</f>
        <v>0</v>
      </c>
      <c r="M564" s="240"/>
      <c r="N564" s="74"/>
    </row>
    <row r="565" spans="1:14" s="21" customFormat="1" ht="51" hidden="1">
      <c r="A565" s="7" t="s">
        <v>36</v>
      </c>
      <c r="B565" s="17"/>
      <c r="C565" s="17"/>
      <c r="D565" s="17"/>
      <c r="E565" s="17"/>
      <c r="F565" s="17" t="s">
        <v>190</v>
      </c>
      <c r="G565" s="240">
        <f>SUM(H565:H565)</f>
        <v>0</v>
      </c>
      <c r="H565" s="240"/>
      <c r="I565" s="236"/>
      <c r="J565" s="240"/>
      <c r="K565" s="240"/>
      <c r="L565" s="214">
        <f>'ИСПОЛНЕНИЕ 1 КВ.'!H566+'ИСПОЛНЕНИЕ 2 КВ. '!I575</f>
        <v>0</v>
      </c>
      <c r="M565" s="240"/>
      <c r="N565" s="74"/>
    </row>
    <row r="566" spans="1:14" s="21" customFormat="1" ht="12.75" hidden="1">
      <c r="A566" s="16" t="s">
        <v>37</v>
      </c>
      <c r="B566" s="17" t="s">
        <v>207</v>
      </c>
      <c r="C566" s="17" t="s">
        <v>140</v>
      </c>
      <c r="D566" s="17" t="s">
        <v>69</v>
      </c>
      <c r="E566" s="17" t="s">
        <v>38</v>
      </c>
      <c r="F566" s="17"/>
      <c r="G566" s="240">
        <f>SUM(G567:G569)</f>
        <v>13.200000000000001</v>
      </c>
      <c r="H566" s="240">
        <f>SUM(H567:H569)</f>
        <v>13.200000000000001</v>
      </c>
      <c r="I566" s="236"/>
      <c r="J566" s="240"/>
      <c r="K566" s="240"/>
      <c r="L566" s="214">
        <f>'ИСПОЛНЕНИЕ 1 КВ.'!H567+'ИСПОЛНЕНИЕ 2 КВ. '!I576</f>
        <v>0</v>
      </c>
      <c r="M566" s="240"/>
      <c r="N566" s="74"/>
    </row>
    <row r="567" spans="1:14" s="21" customFormat="1" ht="38.25" hidden="1">
      <c r="A567" s="11" t="s">
        <v>39</v>
      </c>
      <c r="B567" s="20"/>
      <c r="C567" s="20"/>
      <c r="D567" s="20"/>
      <c r="E567" s="20"/>
      <c r="F567" s="20" t="s">
        <v>183</v>
      </c>
      <c r="G567" s="236">
        <f>SUM(H567:H567)</f>
        <v>3.9</v>
      </c>
      <c r="H567" s="236">
        <v>3.9</v>
      </c>
      <c r="I567" s="236"/>
      <c r="J567" s="236"/>
      <c r="K567" s="236"/>
      <c r="L567" s="214">
        <f>'ИСПОЛНЕНИЕ 1 КВ.'!H568+'ИСПОЛНЕНИЕ 2 КВ. '!I577</f>
        <v>0</v>
      </c>
      <c r="M567" s="236"/>
      <c r="N567" s="77"/>
    </row>
    <row r="568" spans="1:14" s="21" customFormat="1" ht="38.25" hidden="1">
      <c r="A568" s="19" t="s">
        <v>40</v>
      </c>
      <c r="B568" s="20"/>
      <c r="C568" s="20"/>
      <c r="D568" s="20"/>
      <c r="E568" s="20"/>
      <c r="F568" s="20" t="s">
        <v>222</v>
      </c>
      <c r="G568" s="236">
        <f>SUM(H568:H568)</f>
        <v>0</v>
      </c>
      <c r="H568" s="236"/>
      <c r="I568" s="236"/>
      <c r="J568" s="236"/>
      <c r="K568" s="236"/>
      <c r="L568" s="214">
        <f>'ИСПОЛНЕНИЕ 1 КВ.'!H569+'ИСПОЛНЕНИЕ 2 КВ. '!I578</f>
        <v>0</v>
      </c>
      <c r="M568" s="236"/>
      <c r="N568" s="77"/>
    </row>
    <row r="569" spans="1:14" s="21" customFormat="1" ht="25.5" hidden="1">
      <c r="A569" s="12" t="s">
        <v>41</v>
      </c>
      <c r="B569" s="20"/>
      <c r="C569" s="20"/>
      <c r="D569" s="20"/>
      <c r="E569" s="20"/>
      <c r="F569" s="20" t="s">
        <v>192</v>
      </c>
      <c r="G569" s="236">
        <f>SUM(H569:H569)</f>
        <v>9.3</v>
      </c>
      <c r="H569" s="236">
        <v>9.3</v>
      </c>
      <c r="I569" s="236"/>
      <c r="J569" s="236"/>
      <c r="K569" s="236"/>
      <c r="L569" s="214">
        <f>'ИСПОЛНЕНИЕ 1 КВ.'!H570+'ИСПОЛНЕНИЕ 2 КВ. '!I579</f>
        <v>0</v>
      </c>
      <c r="M569" s="236"/>
      <c r="N569" s="77"/>
    </row>
    <row r="570" spans="1:14" s="45" customFormat="1" ht="12.75" hidden="1">
      <c r="A570" s="43" t="s">
        <v>42</v>
      </c>
      <c r="B570" s="44" t="s">
        <v>207</v>
      </c>
      <c r="C570" s="44" t="s">
        <v>140</v>
      </c>
      <c r="D570" s="44" t="s">
        <v>69</v>
      </c>
      <c r="E570" s="44" t="s">
        <v>43</v>
      </c>
      <c r="F570" s="44"/>
      <c r="G570" s="239">
        <f>SUM(G571)</f>
        <v>0</v>
      </c>
      <c r="H570" s="239">
        <f>SUM(H571)</f>
        <v>0</v>
      </c>
      <c r="I570" s="239"/>
      <c r="J570" s="239"/>
      <c r="K570" s="239"/>
      <c r="L570" s="214">
        <f>'ИСПОЛНЕНИЕ 1 КВ.'!H571+'ИСПОЛНЕНИЕ 2 КВ. '!I580</f>
        <v>0</v>
      </c>
      <c r="M570" s="239"/>
      <c r="N570" s="93"/>
    </row>
    <row r="571" spans="1:14" s="21" customFormat="1" ht="10.5" customHeight="1" hidden="1">
      <c r="A571" s="16" t="s">
        <v>44</v>
      </c>
      <c r="B571" s="17" t="s">
        <v>207</v>
      </c>
      <c r="C571" s="17" t="s">
        <v>140</v>
      </c>
      <c r="D571" s="17" t="s">
        <v>69</v>
      </c>
      <c r="E571" s="17" t="s">
        <v>45</v>
      </c>
      <c r="F571" s="17"/>
      <c r="G571" s="240">
        <f>SUM(H571:H571)</f>
        <v>0</v>
      </c>
      <c r="H571" s="240">
        <f>SUM(H572)</f>
        <v>0</v>
      </c>
      <c r="I571" s="236"/>
      <c r="J571" s="240"/>
      <c r="K571" s="240"/>
      <c r="L571" s="214">
        <f>'ИСПОЛНЕНИЕ 1 КВ.'!H572+'ИСПОЛНЕНИЕ 2 КВ. '!I581</f>
        <v>0</v>
      </c>
      <c r="M571" s="240"/>
      <c r="N571" s="74"/>
    </row>
    <row r="572" spans="1:14" s="21" customFormat="1" ht="12.75" hidden="1">
      <c r="A572" s="6" t="s">
        <v>46</v>
      </c>
      <c r="B572" s="20"/>
      <c r="C572" s="20"/>
      <c r="D572" s="20"/>
      <c r="E572" s="20"/>
      <c r="F572" s="20"/>
      <c r="G572" s="254">
        <f>SUM(H572:H572)</f>
        <v>0</v>
      </c>
      <c r="H572" s="236"/>
      <c r="I572" s="236"/>
      <c r="J572" s="254"/>
      <c r="K572" s="236"/>
      <c r="L572" s="214">
        <f>'ИСПОЛНЕНИЕ 1 КВ.'!H573+'ИСПОЛНЕНИЕ 2 КВ. '!I582</f>
        <v>0</v>
      </c>
      <c r="M572" s="236"/>
      <c r="N572" s="77"/>
    </row>
    <row r="573" spans="1:14" s="45" customFormat="1" ht="12.75" hidden="1">
      <c r="A573" s="43" t="s">
        <v>47</v>
      </c>
      <c r="B573" s="44" t="s">
        <v>207</v>
      </c>
      <c r="C573" s="44" t="s">
        <v>140</v>
      </c>
      <c r="D573" s="44" t="s">
        <v>69</v>
      </c>
      <c r="E573" s="44" t="s">
        <v>48</v>
      </c>
      <c r="F573" s="44"/>
      <c r="G573" s="239">
        <f>SUM(H573:H573)</f>
        <v>0</v>
      </c>
      <c r="H573" s="239">
        <f>SUM(H574)</f>
        <v>0</v>
      </c>
      <c r="I573" s="239"/>
      <c r="J573" s="239"/>
      <c r="K573" s="239"/>
      <c r="L573" s="214">
        <f>'ИСПОЛНЕНИЕ 1 КВ.'!H574+'ИСПОЛНЕНИЕ 2 КВ. '!I583</f>
        <v>0</v>
      </c>
      <c r="M573" s="239"/>
      <c r="N573" s="93"/>
    </row>
    <row r="574" spans="1:14" s="21" customFormat="1" ht="26.25" customHeight="1" hidden="1">
      <c r="A574" s="12" t="s">
        <v>41</v>
      </c>
      <c r="B574" s="20"/>
      <c r="C574" s="20"/>
      <c r="D574" s="20"/>
      <c r="E574" s="20"/>
      <c r="F574" s="20"/>
      <c r="G574" s="236">
        <f>SUM(H574:H574)</f>
        <v>0</v>
      </c>
      <c r="H574" s="236"/>
      <c r="I574" s="236"/>
      <c r="J574" s="236"/>
      <c r="K574" s="236"/>
      <c r="L574" s="214">
        <f>'ИСПОЛНЕНИЕ 1 КВ.'!H575+'ИСПОЛНЕНИЕ 2 КВ. '!I584</f>
        <v>0</v>
      </c>
      <c r="M574" s="236"/>
      <c r="N574" s="77"/>
    </row>
    <row r="575" spans="1:14" s="45" customFormat="1" ht="12.75" hidden="1">
      <c r="A575" s="43" t="s">
        <v>49</v>
      </c>
      <c r="B575" s="44" t="s">
        <v>207</v>
      </c>
      <c r="C575" s="44" t="s">
        <v>140</v>
      </c>
      <c r="D575" s="44" t="s">
        <v>69</v>
      </c>
      <c r="E575" s="44" t="s">
        <v>50</v>
      </c>
      <c r="F575" s="44"/>
      <c r="G575" s="239">
        <f>SUM(G576,G580)</f>
        <v>2.5</v>
      </c>
      <c r="H575" s="239">
        <f>SUM(H576,H580)</f>
        <v>2.5</v>
      </c>
      <c r="I575" s="239"/>
      <c r="J575" s="239"/>
      <c r="K575" s="239"/>
      <c r="L575" s="214">
        <f>'ИСПОЛНЕНИЕ 1 КВ.'!H576+'ИСПОЛНЕНИЕ 2 КВ. '!I585</f>
        <v>0</v>
      </c>
      <c r="M575" s="239"/>
      <c r="N575" s="93"/>
    </row>
    <row r="576" spans="1:14" s="21" customFormat="1" ht="12.75" hidden="1">
      <c r="A576" s="16" t="s">
        <v>51</v>
      </c>
      <c r="B576" s="17" t="s">
        <v>207</v>
      </c>
      <c r="C576" s="17" t="s">
        <v>140</v>
      </c>
      <c r="D576" s="17" t="s">
        <v>69</v>
      </c>
      <c r="E576" s="17" t="s">
        <v>52</v>
      </c>
      <c r="F576" s="17"/>
      <c r="G576" s="240">
        <f>SUM(G577:G579)</f>
        <v>0</v>
      </c>
      <c r="H576" s="240">
        <f>SUM(H577:H579)</f>
        <v>0</v>
      </c>
      <c r="I576" s="236"/>
      <c r="J576" s="240"/>
      <c r="K576" s="240"/>
      <c r="L576" s="214">
        <f>'ИСПОЛНЕНИЕ 1 КВ.'!H577+'ИСПОЛНЕНИЕ 2 КВ. '!I586</f>
        <v>0</v>
      </c>
      <c r="M576" s="240"/>
      <c r="N576" s="74"/>
    </row>
    <row r="577" spans="1:14" s="21" customFormat="1" ht="12.75" hidden="1">
      <c r="A577" s="7" t="s">
        <v>53</v>
      </c>
      <c r="B577" s="20"/>
      <c r="C577" s="20"/>
      <c r="D577" s="20"/>
      <c r="E577" s="20"/>
      <c r="F577" s="20" t="s">
        <v>223</v>
      </c>
      <c r="G577" s="236">
        <f>SUM(H577:H577)</f>
        <v>0</v>
      </c>
      <c r="H577" s="236"/>
      <c r="I577" s="236"/>
      <c r="J577" s="236"/>
      <c r="K577" s="236"/>
      <c r="L577" s="214">
        <f>'ИСПОЛНЕНИЕ 1 КВ.'!H578+'ИСПОЛНЕНИЕ 2 КВ. '!I587</f>
        <v>0</v>
      </c>
      <c r="M577" s="236"/>
      <c r="N577" s="77"/>
    </row>
    <row r="578" spans="1:14" s="21" customFormat="1" ht="51" hidden="1">
      <c r="A578" s="7" t="s">
        <v>54</v>
      </c>
      <c r="B578" s="20"/>
      <c r="C578" s="20"/>
      <c r="D578" s="20"/>
      <c r="E578" s="20"/>
      <c r="F578" s="20" t="s">
        <v>194</v>
      </c>
      <c r="G578" s="236">
        <f>SUM(H578:H578)</f>
        <v>0</v>
      </c>
      <c r="H578" s="236"/>
      <c r="I578" s="236"/>
      <c r="J578" s="236"/>
      <c r="K578" s="236"/>
      <c r="L578" s="214">
        <f>'ИСПОЛНЕНИЕ 1 КВ.'!H579+'ИСПОЛНЕНИЕ 2 КВ. '!I588</f>
        <v>0</v>
      </c>
      <c r="M578" s="236"/>
      <c r="N578" s="77"/>
    </row>
    <row r="579" spans="1:14" s="21" customFormat="1" ht="52.5" customHeight="1" hidden="1">
      <c r="A579" s="7" t="s">
        <v>55</v>
      </c>
      <c r="B579" s="20"/>
      <c r="C579" s="20"/>
      <c r="D579" s="20"/>
      <c r="E579" s="20"/>
      <c r="F579" s="20" t="s">
        <v>193</v>
      </c>
      <c r="G579" s="236">
        <f>SUM(H579:H579)</f>
        <v>0</v>
      </c>
      <c r="H579" s="236"/>
      <c r="I579" s="236"/>
      <c r="J579" s="236"/>
      <c r="K579" s="236"/>
      <c r="L579" s="214">
        <f>'ИСПОЛНЕНИЕ 1 КВ.'!H580+'ИСПОЛНЕНИЕ 2 КВ. '!I589</f>
        <v>0</v>
      </c>
      <c r="M579" s="236"/>
      <c r="N579" s="77"/>
    </row>
    <row r="580" spans="1:14" s="21" customFormat="1" ht="17.25" customHeight="1" hidden="1">
      <c r="A580" s="16" t="s">
        <v>56</v>
      </c>
      <c r="B580" s="17" t="s">
        <v>207</v>
      </c>
      <c r="C580" s="17" t="s">
        <v>140</v>
      </c>
      <c r="D580" s="17" t="s">
        <v>69</v>
      </c>
      <c r="E580" s="17" t="s">
        <v>57</v>
      </c>
      <c r="F580" s="17"/>
      <c r="G580" s="240">
        <f>SUM(G581:G584)</f>
        <v>2.5</v>
      </c>
      <c r="H580" s="240">
        <f>SUM(H581:H584)</f>
        <v>2.5</v>
      </c>
      <c r="I580" s="236"/>
      <c r="J580" s="240"/>
      <c r="K580" s="240"/>
      <c r="L580" s="214">
        <f>'ИСПОЛНЕНИЕ 1 КВ.'!H581+'ИСПОЛНЕНИЕ 2 КВ. '!I590</f>
        <v>0</v>
      </c>
      <c r="M580" s="240"/>
      <c r="N580" s="74"/>
    </row>
    <row r="581" spans="1:14" s="21" customFormat="1" ht="25.5" hidden="1">
      <c r="A581" s="7" t="s">
        <v>58</v>
      </c>
      <c r="B581" s="20"/>
      <c r="C581" s="20"/>
      <c r="D581" s="20"/>
      <c r="E581" s="20"/>
      <c r="F581" s="20" t="s">
        <v>195</v>
      </c>
      <c r="G581" s="236">
        <f>SUM(H581:H581)</f>
        <v>2.5</v>
      </c>
      <c r="H581" s="236">
        <v>2.5</v>
      </c>
      <c r="I581" s="236"/>
      <c r="J581" s="236"/>
      <c r="K581" s="236"/>
      <c r="L581" s="214">
        <f>'ИСПОЛНЕНИЕ 1 КВ.'!H582+'ИСПОЛНЕНИЕ 2 КВ. '!I591</f>
        <v>0</v>
      </c>
      <c r="M581" s="236"/>
      <c r="N581" s="77"/>
    </row>
    <row r="582" spans="1:14" s="21" customFormat="1" ht="12.75" hidden="1">
      <c r="A582" s="7" t="s">
        <v>59</v>
      </c>
      <c r="B582" s="20"/>
      <c r="C582" s="20"/>
      <c r="D582" s="20"/>
      <c r="E582" s="20"/>
      <c r="F582" s="20" t="s">
        <v>196</v>
      </c>
      <c r="G582" s="236">
        <f>SUM(H582:H582)</f>
        <v>0</v>
      </c>
      <c r="H582" s="236"/>
      <c r="I582" s="236"/>
      <c r="J582" s="236"/>
      <c r="K582" s="236"/>
      <c r="L582" s="214">
        <f>'ИСПОЛНЕНИЕ 1 КВ.'!H583+'ИСПОЛНЕНИЕ 2 КВ. '!I592</f>
        <v>0</v>
      </c>
      <c r="M582" s="236"/>
      <c r="N582" s="77"/>
    </row>
    <row r="583" spans="1:14" s="21" customFormat="1" ht="12.75" hidden="1">
      <c r="A583" s="7" t="s">
        <v>60</v>
      </c>
      <c r="B583" s="20"/>
      <c r="C583" s="20"/>
      <c r="D583" s="20"/>
      <c r="E583" s="20"/>
      <c r="F583" s="20" t="s">
        <v>197</v>
      </c>
      <c r="G583" s="236">
        <f>SUM(H583:H583)</f>
        <v>0</v>
      </c>
      <c r="H583" s="236"/>
      <c r="I583" s="236"/>
      <c r="J583" s="236"/>
      <c r="K583" s="236"/>
      <c r="L583" s="214">
        <f>'ИСПОЛНЕНИЕ 1 КВ.'!H584+'ИСПОЛНЕНИЕ 2 КВ. '!I593</f>
        <v>0</v>
      </c>
      <c r="M583" s="236"/>
      <c r="N583" s="77"/>
    </row>
    <row r="584" spans="1:14" s="21" customFormat="1" ht="26.25" customHeight="1" hidden="1">
      <c r="A584" s="7" t="s">
        <v>61</v>
      </c>
      <c r="B584" s="20"/>
      <c r="C584" s="20"/>
      <c r="D584" s="20"/>
      <c r="E584" s="20"/>
      <c r="F584" s="20" t="s">
        <v>198</v>
      </c>
      <c r="G584" s="236">
        <f>SUM(H584:H584)</f>
        <v>0</v>
      </c>
      <c r="H584" s="236"/>
      <c r="I584" s="236"/>
      <c r="J584" s="236"/>
      <c r="K584" s="236"/>
      <c r="L584" s="214">
        <f>'ИСПОЛНЕНИЕ 1 КВ.'!H585+'ИСПОЛНЕНИЕ 2 КВ. '!I594</f>
        <v>0</v>
      </c>
      <c r="M584" s="236"/>
      <c r="N584" s="77"/>
    </row>
    <row r="585" spans="1:13" s="21" customFormat="1" ht="12.75" hidden="1">
      <c r="A585" s="7"/>
      <c r="B585" s="20"/>
      <c r="C585" s="20"/>
      <c r="D585" s="20"/>
      <c r="E585" s="20"/>
      <c r="F585" s="20"/>
      <c r="G585" s="236"/>
      <c r="H585" s="236"/>
      <c r="I585" s="236"/>
      <c r="J585" s="236"/>
      <c r="K585" s="236"/>
      <c r="L585" s="214">
        <f>'ИСПОЛНЕНИЕ 1 КВ.'!H586+'ИСПОЛНЕНИЕ 2 КВ. '!I595</f>
        <v>0</v>
      </c>
      <c r="M585" s="236"/>
    </row>
    <row r="586" spans="1:13" s="21" customFormat="1" ht="12.75" hidden="1">
      <c r="A586" s="26" t="s">
        <v>74</v>
      </c>
      <c r="B586" s="24" t="s">
        <v>159</v>
      </c>
      <c r="C586" s="24" t="s">
        <v>88</v>
      </c>
      <c r="D586" s="24" t="s">
        <v>2</v>
      </c>
      <c r="E586" s="24"/>
      <c r="F586" s="24"/>
      <c r="G586" s="252"/>
      <c r="H586" s="252"/>
      <c r="I586" s="236"/>
      <c r="J586" s="236"/>
      <c r="K586" s="236"/>
      <c r="L586" s="214">
        <f>'ИСПОЛНЕНИЕ 1 КВ.'!H587+'ИСПОЛНЕНИЕ 2 КВ. '!I596</f>
        <v>0</v>
      </c>
      <c r="M586" s="236"/>
    </row>
    <row r="587" spans="1:13" s="46" customFormat="1" ht="46.5" customHeight="1" hidden="1">
      <c r="A587" s="26" t="s">
        <v>124</v>
      </c>
      <c r="B587" s="24" t="s">
        <v>159</v>
      </c>
      <c r="C587" s="24" t="s">
        <v>125</v>
      </c>
      <c r="D587" s="24" t="s">
        <v>69</v>
      </c>
      <c r="E587" s="24"/>
      <c r="F587" s="24"/>
      <c r="G587" s="253">
        <f>SUM(H587:H587)</f>
        <v>891.1</v>
      </c>
      <c r="H587" s="253">
        <f>SUM(H588,H596,H616,H619,H621)</f>
        <v>891.1</v>
      </c>
      <c r="I587" s="242"/>
      <c r="J587" s="242"/>
      <c r="K587" s="242"/>
      <c r="L587" s="214">
        <f>'ИСПОЛНЕНИЕ 1 КВ.'!H588+'ИСПОЛНЕНИЕ 2 КВ. '!I597</f>
        <v>0</v>
      </c>
      <c r="M587" s="242"/>
    </row>
    <row r="588" spans="1:13" s="21" customFormat="1" ht="14.25" customHeight="1" hidden="1">
      <c r="A588" s="10" t="s">
        <v>4</v>
      </c>
      <c r="B588" s="14" t="s">
        <v>208</v>
      </c>
      <c r="C588" s="14" t="s">
        <v>125</v>
      </c>
      <c r="D588" s="14" t="s">
        <v>69</v>
      </c>
      <c r="E588" s="14" t="s">
        <v>5</v>
      </c>
      <c r="F588" s="14"/>
      <c r="G588" s="235">
        <f>SUM(G589,G590,G595)</f>
        <v>679.7</v>
      </c>
      <c r="H588" s="235">
        <f>SUM(H589,H590,H595)</f>
        <v>679.7</v>
      </c>
      <c r="I588" s="236"/>
      <c r="J588" s="236"/>
      <c r="K588" s="236"/>
      <c r="L588" s="214">
        <f>'ИСПОЛНЕНИЕ 1 КВ.'!H589+'ИСПОЛНЕНИЕ 2 КВ. '!I598</f>
        <v>0</v>
      </c>
      <c r="M588" s="236"/>
    </row>
    <row r="589" spans="1:13" s="21" customFormat="1" ht="12.75" hidden="1">
      <c r="A589" s="16" t="s">
        <v>6</v>
      </c>
      <c r="B589" s="17" t="s">
        <v>159</v>
      </c>
      <c r="C589" s="17" t="s">
        <v>125</v>
      </c>
      <c r="D589" s="17" t="s">
        <v>69</v>
      </c>
      <c r="E589" s="17" t="s">
        <v>7</v>
      </c>
      <c r="F589" s="17"/>
      <c r="G589" s="240">
        <f>SUM(H589:H589)</f>
        <v>490.9</v>
      </c>
      <c r="H589" s="240">
        <v>490.9</v>
      </c>
      <c r="I589" s="236"/>
      <c r="J589" s="236"/>
      <c r="K589" s="236"/>
      <c r="L589" s="214">
        <f>'ИСПОЛНЕНИЕ 1 КВ.'!H590+'ИСПОЛНЕНИЕ 2 КВ. '!I599</f>
        <v>0</v>
      </c>
      <c r="M589" s="236"/>
    </row>
    <row r="590" spans="1:13" s="21" customFormat="1" ht="12.75" hidden="1">
      <c r="A590" s="16" t="s">
        <v>8</v>
      </c>
      <c r="B590" s="17" t="s">
        <v>159</v>
      </c>
      <c r="C590" s="17" t="s">
        <v>125</v>
      </c>
      <c r="D590" s="17" t="s">
        <v>69</v>
      </c>
      <c r="E590" s="17" t="s">
        <v>9</v>
      </c>
      <c r="F590" s="17"/>
      <c r="G590" s="240">
        <f>SUM(G591:G594)</f>
        <v>60.2</v>
      </c>
      <c r="H590" s="240">
        <f>SUM(H591:H594)</f>
        <v>60.2</v>
      </c>
      <c r="I590" s="236"/>
      <c r="J590" s="236"/>
      <c r="K590" s="236"/>
      <c r="L590" s="214">
        <f>'ИСПОЛНЕНИЕ 1 КВ.'!H591+'ИСПОЛНЕНИЕ 2 КВ. '!I600</f>
        <v>0</v>
      </c>
      <c r="M590" s="236"/>
    </row>
    <row r="591" spans="1:13" s="21" customFormat="1" ht="25.5" hidden="1">
      <c r="A591" s="11" t="s">
        <v>10</v>
      </c>
      <c r="B591" s="4"/>
      <c r="C591" s="4"/>
      <c r="D591" s="4"/>
      <c r="E591" s="4"/>
      <c r="F591" s="4" t="s">
        <v>183</v>
      </c>
      <c r="G591" s="250">
        <f aca="true" t="shared" si="64" ref="G591:G597">SUM(H591:H591)</f>
        <v>0.6</v>
      </c>
      <c r="H591" s="250">
        <v>0.6</v>
      </c>
      <c r="I591" s="236"/>
      <c r="J591" s="236"/>
      <c r="K591" s="236"/>
      <c r="L591" s="214">
        <f>'ИСПОЛНЕНИЕ 1 КВ.'!H592+'ИСПОЛНЕНИЕ 2 КВ. '!I601</f>
        <v>0</v>
      </c>
      <c r="M591" s="236"/>
    </row>
    <row r="592" spans="1:13" s="21" customFormat="1" ht="15" customHeight="1" hidden="1">
      <c r="A592" s="12" t="s">
        <v>11</v>
      </c>
      <c r="B592" s="4"/>
      <c r="C592" s="4"/>
      <c r="D592" s="4"/>
      <c r="E592" s="4"/>
      <c r="F592" s="4" t="s">
        <v>200</v>
      </c>
      <c r="G592" s="250">
        <f t="shared" si="64"/>
        <v>2</v>
      </c>
      <c r="H592" s="250">
        <v>2</v>
      </c>
      <c r="I592" s="236"/>
      <c r="J592" s="236"/>
      <c r="K592" s="236"/>
      <c r="L592" s="214">
        <f>'ИСПОЛНЕНИЕ 1 КВ.'!H593+'ИСПОЛНЕНИЕ 2 КВ. '!I602</f>
        <v>0</v>
      </c>
      <c r="M592" s="236"/>
    </row>
    <row r="593" spans="1:13" s="30" customFormat="1" ht="12.75" hidden="1">
      <c r="A593" s="65" t="s">
        <v>130</v>
      </c>
      <c r="B593" s="29"/>
      <c r="C593" s="29"/>
      <c r="D593" s="29"/>
      <c r="E593" s="29"/>
      <c r="F593" s="29" t="s">
        <v>199</v>
      </c>
      <c r="G593" s="254">
        <f t="shared" si="64"/>
        <v>0.6</v>
      </c>
      <c r="H593" s="254">
        <v>0.6</v>
      </c>
      <c r="I593" s="254"/>
      <c r="J593" s="254"/>
      <c r="K593" s="254"/>
      <c r="L593" s="214">
        <f>'ИСПОЛНЕНИЕ 1 КВ.'!H594+'ИСПОЛНЕНИЕ 2 КВ. '!I603</f>
        <v>0</v>
      </c>
      <c r="M593" s="254"/>
    </row>
    <row r="594" spans="1:13" s="21" customFormat="1" ht="25.5" hidden="1">
      <c r="A594" s="6" t="s">
        <v>12</v>
      </c>
      <c r="B594" s="4"/>
      <c r="C594" s="4"/>
      <c r="D594" s="4"/>
      <c r="E594" s="4"/>
      <c r="F594" s="4" t="s">
        <v>184</v>
      </c>
      <c r="G594" s="250">
        <f t="shared" si="64"/>
        <v>57</v>
      </c>
      <c r="H594" s="250">
        <v>57</v>
      </c>
      <c r="I594" s="236"/>
      <c r="J594" s="236"/>
      <c r="K594" s="236"/>
      <c r="L594" s="214">
        <f>'ИСПОЛНЕНИЕ 1 КВ.'!H595+'ИСПОЛНЕНИЕ 2 КВ. '!I604</f>
        <v>0</v>
      </c>
      <c r="M594" s="236"/>
    </row>
    <row r="595" spans="1:13" s="21" customFormat="1" ht="12.75" hidden="1">
      <c r="A595" s="16" t="s">
        <v>13</v>
      </c>
      <c r="B595" s="17" t="s">
        <v>159</v>
      </c>
      <c r="C595" s="17" t="s">
        <v>125</v>
      </c>
      <c r="D595" s="17" t="s">
        <v>69</v>
      </c>
      <c r="E595" s="17" t="s">
        <v>14</v>
      </c>
      <c r="F595" s="17"/>
      <c r="G595" s="249">
        <f t="shared" si="64"/>
        <v>128.6</v>
      </c>
      <c r="H595" s="240">
        <v>128.6</v>
      </c>
      <c r="I595" s="236"/>
      <c r="J595" s="236"/>
      <c r="K595" s="236"/>
      <c r="L595" s="214">
        <f>'ИСПОЛНЕНИЕ 1 КВ.'!H596+'ИСПОЛНЕНИЕ 2 КВ. '!I605</f>
        <v>0</v>
      </c>
      <c r="M595" s="236"/>
    </row>
    <row r="596" spans="1:13" s="45" customFormat="1" ht="12.75" hidden="1">
      <c r="A596" s="43" t="s">
        <v>15</v>
      </c>
      <c r="B596" s="44" t="s">
        <v>159</v>
      </c>
      <c r="C596" s="14" t="s">
        <v>125</v>
      </c>
      <c r="D596" s="44" t="s">
        <v>69</v>
      </c>
      <c r="E596" s="44" t="s">
        <v>16</v>
      </c>
      <c r="F596" s="44"/>
      <c r="G596" s="239">
        <f t="shared" si="64"/>
        <v>201.4</v>
      </c>
      <c r="H596" s="239">
        <f>SUM(H597:H598,H601,H605,H606,H612,)</f>
        <v>201.4</v>
      </c>
      <c r="I596" s="239"/>
      <c r="J596" s="239"/>
      <c r="K596" s="239"/>
      <c r="L596" s="214">
        <f>'ИСПОЛНЕНИЕ 1 КВ.'!H597+'ИСПОЛНЕНИЕ 2 КВ. '!I606</f>
        <v>0</v>
      </c>
      <c r="M596" s="239"/>
    </row>
    <row r="597" spans="1:13" s="21" customFormat="1" ht="12.75" hidden="1">
      <c r="A597" s="16" t="s">
        <v>17</v>
      </c>
      <c r="B597" s="17" t="s">
        <v>159</v>
      </c>
      <c r="C597" s="17" t="s">
        <v>125</v>
      </c>
      <c r="D597" s="17" t="s">
        <v>69</v>
      </c>
      <c r="E597" s="17" t="s">
        <v>18</v>
      </c>
      <c r="F597" s="17"/>
      <c r="G597" s="240">
        <f t="shared" si="64"/>
        <v>33</v>
      </c>
      <c r="H597" s="240">
        <v>33</v>
      </c>
      <c r="I597" s="236"/>
      <c r="J597" s="236"/>
      <c r="K597" s="236"/>
      <c r="L597" s="214">
        <f>'ИСПОЛНЕНИЕ 1 КВ.'!H598+'ИСПОЛНЕНИЕ 2 КВ. '!I607</f>
        <v>0</v>
      </c>
      <c r="M597" s="236"/>
    </row>
    <row r="598" spans="1:13" s="21" customFormat="1" ht="12.75" hidden="1">
      <c r="A598" s="16" t="s">
        <v>21</v>
      </c>
      <c r="B598" s="17" t="s">
        <v>159</v>
      </c>
      <c r="C598" s="17" t="s">
        <v>125</v>
      </c>
      <c r="D598" s="17" t="s">
        <v>69</v>
      </c>
      <c r="E598" s="17" t="s">
        <v>19</v>
      </c>
      <c r="F598" s="17"/>
      <c r="G598" s="240">
        <f>SUM(G599:G600)</f>
        <v>11.2</v>
      </c>
      <c r="H598" s="240">
        <f>SUM(H599:H600)</f>
        <v>11.2</v>
      </c>
      <c r="I598" s="236"/>
      <c r="J598" s="236"/>
      <c r="K598" s="236"/>
      <c r="L598" s="214">
        <f>'ИСПОЛНЕНИЕ 1 КВ.'!H599+'ИСПОЛНЕНИЕ 2 КВ. '!I608</f>
        <v>0</v>
      </c>
      <c r="M598" s="236"/>
    </row>
    <row r="599" spans="1:13" s="21" customFormat="1" ht="25.5" hidden="1">
      <c r="A599" s="11" t="s">
        <v>20</v>
      </c>
      <c r="B599" s="4"/>
      <c r="C599" s="4"/>
      <c r="D599" s="4"/>
      <c r="E599" s="4"/>
      <c r="F599" s="4" t="s">
        <v>183</v>
      </c>
      <c r="G599" s="250">
        <f>SUM(H599:H599)</f>
        <v>11.2</v>
      </c>
      <c r="H599" s="250">
        <v>11.2</v>
      </c>
      <c r="I599" s="236"/>
      <c r="J599" s="236"/>
      <c r="K599" s="236"/>
      <c r="L599" s="214">
        <f>'ИСПОЛНЕНИЕ 1 КВ.'!H600+'ИСПОЛНЕНИЕ 2 КВ. '!I609</f>
        <v>0</v>
      </c>
      <c r="M599" s="236"/>
    </row>
    <row r="600" spans="1:13" s="21" customFormat="1" ht="38.25" hidden="1">
      <c r="A600" s="8" t="s">
        <v>22</v>
      </c>
      <c r="B600" s="4"/>
      <c r="C600" s="4"/>
      <c r="D600" s="4"/>
      <c r="E600" s="4"/>
      <c r="F600" s="4" t="s">
        <v>185</v>
      </c>
      <c r="G600" s="250">
        <f>SUM(H600:H600)</f>
        <v>0</v>
      </c>
      <c r="H600" s="250"/>
      <c r="I600" s="236"/>
      <c r="J600" s="236"/>
      <c r="K600" s="236"/>
      <c r="L600" s="214">
        <f>'ИСПОЛНЕНИЕ 1 КВ.'!H601+'ИСПОЛНЕНИЕ 2 КВ. '!I610</f>
        <v>0</v>
      </c>
      <c r="M600" s="236"/>
    </row>
    <row r="601" spans="1:13" s="21" customFormat="1" ht="12.75" hidden="1">
      <c r="A601" s="16" t="s">
        <v>23</v>
      </c>
      <c r="B601" s="17" t="s">
        <v>159</v>
      </c>
      <c r="C601" s="17" t="s">
        <v>125</v>
      </c>
      <c r="D601" s="17" t="s">
        <v>69</v>
      </c>
      <c r="E601" s="17" t="s">
        <v>24</v>
      </c>
      <c r="F601" s="17"/>
      <c r="G601" s="240">
        <f>SUM(G602:G604)</f>
        <v>0</v>
      </c>
      <c r="H601" s="240">
        <f>SUM(H602:H604)</f>
        <v>0</v>
      </c>
      <c r="I601" s="236"/>
      <c r="J601" s="236"/>
      <c r="K601" s="236"/>
      <c r="L601" s="214">
        <f>'ИСПОЛНЕНИЕ 1 КВ.'!H602+'ИСПОЛНЕНИЕ 2 КВ. '!I611</f>
        <v>0</v>
      </c>
      <c r="M601" s="236"/>
    </row>
    <row r="602" spans="1:13" s="21" customFormat="1" ht="17.25" customHeight="1" hidden="1">
      <c r="A602" s="7" t="s">
        <v>25</v>
      </c>
      <c r="B602" s="4"/>
      <c r="C602" s="4"/>
      <c r="D602" s="4"/>
      <c r="E602" s="4"/>
      <c r="F602" s="4" t="s">
        <v>186</v>
      </c>
      <c r="G602" s="250">
        <f>SUM(H602:H602)</f>
        <v>0</v>
      </c>
      <c r="H602" s="250"/>
      <c r="I602" s="236"/>
      <c r="J602" s="236"/>
      <c r="K602" s="236"/>
      <c r="L602" s="214">
        <f>'ИСПОЛНЕНИЕ 1 КВ.'!H603+'ИСПОЛНЕНИЕ 2 КВ. '!I612</f>
        <v>0</v>
      </c>
      <c r="M602" s="236"/>
    </row>
    <row r="603" spans="1:13" s="21" customFormat="1" ht="26.25" customHeight="1" hidden="1">
      <c r="A603" s="7" t="s">
        <v>26</v>
      </c>
      <c r="B603" s="4"/>
      <c r="C603" s="4"/>
      <c r="D603" s="4"/>
      <c r="E603" s="4"/>
      <c r="F603" s="4" t="s">
        <v>187</v>
      </c>
      <c r="G603" s="250">
        <f>SUM(H603:H603)</f>
        <v>0</v>
      </c>
      <c r="H603" s="250"/>
      <c r="I603" s="236"/>
      <c r="J603" s="236"/>
      <c r="K603" s="236"/>
      <c r="L603" s="214">
        <f>'ИСПОЛНЕНИЕ 1 КВ.'!H604+'ИСПОЛНЕНИЕ 2 КВ. '!I613</f>
        <v>0</v>
      </c>
      <c r="M603" s="236"/>
    </row>
    <row r="604" spans="1:13" s="21" customFormat="1" ht="12.75" hidden="1">
      <c r="A604" s="7" t="s">
        <v>27</v>
      </c>
      <c r="B604" s="4"/>
      <c r="C604" s="4"/>
      <c r="D604" s="4"/>
      <c r="E604" s="4"/>
      <c r="F604" s="4" t="s">
        <v>188</v>
      </c>
      <c r="G604" s="250">
        <f>SUM(H604:H604)</f>
        <v>0</v>
      </c>
      <c r="H604" s="250"/>
      <c r="I604" s="236"/>
      <c r="J604" s="236"/>
      <c r="K604" s="236"/>
      <c r="L604" s="214">
        <f>'ИСПОЛНЕНИЕ 1 КВ.'!H605+'ИСПОЛНЕНИЕ 2 КВ. '!I614</f>
        <v>0</v>
      </c>
      <c r="M604" s="236"/>
    </row>
    <row r="605" spans="1:13" s="21" customFormat="1" ht="16.5" customHeight="1" hidden="1">
      <c r="A605" s="16" t="s">
        <v>28</v>
      </c>
      <c r="B605" s="17" t="s">
        <v>159</v>
      </c>
      <c r="C605" s="17" t="s">
        <v>125</v>
      </c>
      <c r="D605" s="17" t="s">
        <v>69</v>
      </c>
      <c r="E605" s="17" t="s">
        <v>29</v>
      </c>
      <c r="F605" s="17"/>
      <c r="G605" s="250">
        <f>SUM(H605:H605)</f>
        <v>0</v>
      </c>
      <c r="H605" s="240"/>
      <c r="I605" s="236"/>
      <c r="J605" s="236"/>
      <c r="K605" s="236"/>
      <c r="L605" s="214">
        <f>'ИСПОЛНЕНИЕ 1 КВ.'!H606+'ИСПОЛНЕНИЕ 2 КВ. '!I615</f>
        <v>0</v>
      </c>
      <c r="M605" s="236"/>
    </row>
    <row r="606" spans="1:13" s="21" customFormat="1" ht="12.75" hidden="1">
      <c r="A606" s="16" t="s">
        <v>30</v>
      </c>
      <c r="B606" s="17" t="s">
        <v>159</v>
      </c>
      <c r="C606" s="17" t="s">
        <v>125</v>
      </c>
      <c r="D606" s="17" t="s">
        <v>69</v>
      </c>
      <c r="E606" s="17" t="s">
        <v>31</v>
      </c>
      <c r="F606" s="17"/>
      <c r="G606" s="240">
        <f>SUM(G607:G611)</f>
        <v>43</v>
      </c>
      <c r="H606" s="240">
        <f>SUM(H607:H611)</f>
        <v>43</v>
      </c>
      <c r="I606" s="236"/>
      <c r="J606" s="236"/>
      <c r="K606" s="236"/>
      <c r="L606" s="214">
        <f>'ИСПОЛНЕНИЕ 1 КВ.'!H607+'ИСПОЛНЕНИЕ 2 КВ. '!I616</f>
        <v>0</v>
      </c>
      <c r="M606" s="236"/>
    </row>
    <row r="607" spans="1:13" s="21" customFormat="1" ht="12.75" hidden="1">
      <c r="A607" s="7" t="s">
        <v>32</v>
      </c>
      <c r="B607" s="17"/>
      <c r="C607" s="17"/>
      <c r="D607" s="17"/>
      <c r="E607" s="17"/>
      <c r="F607" s="17" t="s">
        <v>189</v>
      </c>
      <c r="G607" s="240">
        <f>SUM(H607:H607)</f>
        <v>0</v>
      </c>
      <c r="H607" s="240"/>
      <c r="I607" s="236"/>
      <c r="J607" s="236"/>
      <c r="K607" s="236"/>
      <c r="L607" s="214">
        <f>'ИСПОЛНЕНИЕ 1 КВ.'!H608+'ИСПОЛНЕНИЕ 2 КВ. '!I617</f>
        <v>0</v>
      </c>
      <c r="M607" s="236"/>
    </row>
    <row r="608" spans="1:13" s="21" customFormat="1" ht="12.75" hidden="1">
      <c r="A608" s="7" t="s">
        <v>33</v>
      </c>
      <c r="B608" s="17"/>
      <c r="C608" s="17"/>
      <c r="D608" s="17"/>
      <c r="E608" s="17"/>
      <c r="F608" s="17" t="s">
        <v>191</v>
      </c>
      <c r="G608" s="240">
        <f>SUM(H608:H608)</f>
        <v>0</v>
      </c>
      <c r="H608" s="240"/>
      <c r="I608" s="236"/>
      <c r="J608" s="236"/>
      <c r="K608" s="236"/>
      <c r="L608" s="214">
        <f>'ИСПОЛНЕНИЕ 1 КВ.'!H609+'ИСПОЛНЕНИЕ 2 КВ. '!I618</f>
        <v>0</v>
      </c>
      <c r="M608" s="236"/>
    </row>
    <row r="609" spans="1:13" s="21" customFormat="1" ht="25.5" hidden="1">
      <c r="A609" s="7" t="s">
        <v>34</v>
      </c>
      <c r="B609" s="17"/>
      <c r="C609" s="17"/>
      <c r="D609" s="17"/>
      <c r="E609" s="17"/>
      <c r="F609" s="17" t="s">
        <v>221</v>
      </c>
      <c r="G609" s="240">
        <f>SUM(H609:H609)</f>
        <v>43</v>
      </c>
      <c r="H609" s="240">
        <v>43</v>
      </c>
      <c r="I609" s="236"/>
      <c r="J609" s="236"/>
      <c r="K609" s="236"/>
      <c r="L609" s="214">
        <f>'ИСПОЛНЕНИЕ 1 КВ.'!H610+'ИСПОЛНЕНИЕ 2 КВ. '!I619</f>
        <v>0</v>
      </c>
      <c r="M609" s="236"/>
    </row>
    <row r="610" spans="1:13" s="21" customFormat="1" ht="25.5" hidden="1">
      <c r="A610" s="7" t="s">
        <v>35</v>
      </c>
      <c r="B610" s="17"/>
      <c r="C610" s="17"/>
      <c r="D610" s="17"/>
      <c r="E610" s="17"/>
      <c r="F610" s="17" t="s">
        <v>190</v>
      </c>
      <c r="G610" s="240">
        <f>SUM(H610:H610)</f>
        <v>0</v>
      </c>
      <c r="H610" s="240"/>
      <c r="I610" s="236"/>
      <c r="J610" s="236"/>
      <c r="K610" s="236"/>
      <c r="L610" s="214">
        <f>'ИСПОЛНЕНИЕ 1 КВ.'!H611+'ИСПОЛНЕНИЕ 2 КВ. '!I620</f>
        <v>0</v>
      </c>
      <c r="M610" s="236"/>
    </row>
    <row r="611" spans="1:13" s="21" customFormat="1" ht="51" hidden="1">
      <c r="A611" s="7" t="s">
        <v>36</v>
      </c>
      <c r="B611" s="17"/>
      <c r="C611" s="17"/>
      <c r="D611" s="17"/>
      <c r="E611" s="17"/>
      <c r="F611" s="17" t="s">
        <v>190</v>
      </c>
      <c r="G611" s="240">
        <f>SUM(H611:H611)</f>
        <v>0</v>
      </c>
      <c r="H611" s="240"/>
      <c r="I611" s="236"/>
      <c r="J611" s="236"/>
      <c r="K611" s="236"/>
      <c r="L611" s="214">
        <f>'ИСПОЛНЕНИЕ 1 КВ.'!H612+'ИСПОЛНЕНИЕ 2 КВ. '!I621</f>
        <v>0</v>
      </c>
      <c r="M611" s="236"/>
    </row>
    <row r="612" spans="1:13" s="21" customFormat="1" ht="12.75" hidden="1">
      <c r="A612" s="16" t="s">
        <v>37</v>
      </c>
      <c r="B612" s="17" t="s">
        <v>159</v>
      </c>
      <c r="C612" s="17" t="s">
        <v>125</v>
      </c>
      <c r="D612" s="17" t="s">
        <v>69</v>
      </c>
      <c r="E612" s="17" t="s">
        <v>38</v>
      </c>
      <c r="F612" s="17"/>
      <c r="G612" s="240">
        <f>SUM(G613:G615)</f>
        <v>114.2</v>
      </c>
      <c r="H612" s="240">
        <f>SUM(H613:H615)</f>
        <v>114.2</v>
      </c>
      <c r="I612" s="236"/>
      <c r="J612" s="236"/>
      <c r="K612" s="236"/>
      <c r="L612" s="214">
        <f>'ИСПОЛНЕНИЕ 1 КВ.'!H613+'ИСПОЛНЕНИЕ 2 КВ. '!I622</f>
        <v>0</v>
      </c>
      <c r="M612" s="236"/>
    </row>
    <row r="613" spans="1:13" s="21" customFormat="1" ht="38.25" hidden="1">
      <c r="A613" s="11" t="s">
        <v>39</v>
      </c>
      <c r="B613" s="20"/>
      <c r="C613" s="20"/>
      <c r="D613" s="20"/>
      <c r="E613" s="20"/>
      <c r="F613" s="20" t="s">
        <v>183</v>
      </c>
      <c r="G613" s="236">
        <f>SUM(H613:H613)</f>
        <v>4.2</v>
      </c>
      <c r="H613" s="236">
        <v>4.2</v>
      </c>
      <c r="I613" s="236"/>
      <c r="J613" s="236"/>
      <c r="K613" s="236"/>
      <c r="L613" s="214">
        <f>'ИСПОЛНЕНИЕ 1 КВ.'!H614+'ИСПОЛНЕНИЕ 2 КВ. '!I623</f>
        <v>0</v>
      </c>
      <c r="M613" s="236"/>
    </row>
    <row r="614" spans="1:13" s="21" customFormat="1" ht="33.75" customHeight="1" hidden="1">
      <c r="A614" s="19" t="s">
        <v>40</v>
      </c>
      <c r="B614" s="20"/>
      <c r="C614" s="20"/>
      <c r="D614" s="20"/>
      <c r="E614" s="20"/>
      <c r="F614" s="20" t="s">
        <v>222</v>
      </c>
      <c r="G614" s="236">
        <f>SUM(H614:H614)</f>
        <v>0</v>
      </c>
      <c r="H614" s="236"/>
      <c r="I614" s="236"/>
      <c r="J614" s="236"/>
      <c r="K614" s="236"/>
      <c r="L614" s="214">
        <f>'ИСПОЛНЕНИЕ 1 КВ.'!H615+'ИСПОЛНЕНИЕ 2 КВ. '!I624</f>
        <v>0</v>
      </c>
      <c r="M614" s="236"/>
    </row>
    <row r="615" spans="1:13" s="21" customFormat="1" ht="25.5" hidden="1">
      <c r="A615" s="12" t="s">
        <v>41</v>
      </c>
      <c r="B615" s="20"/>
      <c r="C615" s="20"/>
      <c r="D615" s="20"/>
      <c r="E615" s="20"/>
      <c r="F615" s="20" t="s">
        <v>192</v>
      </c>
      <c r="G615" s="236">
        <f>SUM(H615:H615)</f>
        <v>110</v>
      </c>
      <c r="H615" s="236">
        <v>110</v>
      </c>
      <c r="I615" s="236"/>
      <c r="J615" s="236"/>
      <c r="K615" s="236"/>
      <c r="L615" s="214">
        <f>'ИСПОЛНЕНИЕ 1 КВ.'!H616+'ИСПОЛНЕНИЕ 2 КВ. '!I625</f>
        <v>0</v>
      </c>
      <c r="M615" s="236"/>
    </row>
    <row r="616" spans="1:13" s="45" customFormat="1" ht="12.75" hidden="1">
      <c r="A616" s="43" t="s">
        <v>42</v>
      </c>
      <c r="B616" s="44" t="s">
        <v>159</v>
      </c>
      <c r="C616" s="14" t="s">
        <v>125</v>
      </c>
      <c r="D616" s="44" t="s">
        <v>69</v>
      </c>
      <c r="E616" s="44" t="s">
        <v>43</v>
      </c>
      <c r="F616" s="44"/>
      <c r="G616" s="239">
        <f>SUM(G617)</f>
        <v>0</v>
      </c>
      <c r="H616" s="239">
        <f>SUM(H617)</f>
        <v>0</v>
      </c>
      <c r="I616" s="239"/>
      <c r="J616" s="239"/>
      <c r="K616" s="239"/>
      <c r="L616" s="214">
        <f>'ИСПОЛНЕНИЕ 1 КВ.'!H617+'ИСПОЛНЕНИЕ 2 КВ. '!I626</f>
        <v>0</v>
      </c>
      <c r="M616" s="239"/>
    </row>
    <row r="617" spans="1:13" s="21" customFormat="1" ht="12.75" hidden="1">
      <c r="A617" s="16" t="s">
        <v>44</v>
      </c>
      <c r="B617" s="17" t="s">
        <v>159</v>
      </c>
      <c r="C617" s="17" t="s">
        <v>125</v>
      </c>
      <c r="D617" s="17" t="s">
        <v>69</v>
      </c>
      <c r="E617" s="17" t="s">
        <v>45</v>
      </c>
      <c r="F617" s="17"/>
      <c r="G617" s="240">
        <f>SUM(H617:H617)</f>
        <v>0</v>
      </c>
      <c r="H617" s="240">
        <f>SUM(H618)</f>
        <v>0</v>
      </c>
      <c r="I617" s="236"/>
      <c r="J617" s="236"/>
      <c r="K617" s="236"/>
      <c r="L617" s="214">
        <f>'ИСПОЛНЕНИЕ 1 КВ.'!H618+'ИСПОЛНЕНИЕ 2 КВ. '!I627</f>
        <v>0</v>
      </c>
      <c r="M617" s="236"/>
    </row>
    <row r="618" spans="1:13" s="21" customFormat="1" ht="12.75" hidden="1">
      <c r="A618" s="6" t="s">
        <v>46</v>
      </c>
      <c r="B618" s="20"/>
      <c r="C618" s="20"/>
      <c r="D618" s="20"/>
      <c r="E618" s="20"/>
      <c r="F618" s="20"/>
      <c r="G618" s="254">
        <f>SUM(H618:H618)</f>
        <v>0</v>
      </c>
      <c r="H618" s="236"/>
      <c r="I618" s="236"/>
      <c r="J618" s="236"/>
      <c r="K618" s="236"/>
      <c r="L618" s="214">
        <f>'ИСПОЛНЕНИЕ 1 КВ.'!H619+'ИСПОЛНЕНИЕ 2 КВ. '!I628</f>
        <v>0</v>
      </c>
      <c r="M618" s="236"/>
    </row>
    <row r="619" spans="1:13" s="45" customFormat="1" ht="12.75" hidden="1">
      <c r="A619" s="43" t="s">
        <v>47</v>
      </c>
      <c r="B619" s="44" t="s">
        <v>159</v>
      </c>
      <c r="C619" s="14" t="s">
        <v>125</v>
      </c>
      <c r="D619" s="44" t="s">
        <v>69</v>
      </c>
      <c r="E619" s="44" t="s">
        <v>48</v>
      </c>
      <c r="F619" s="44"/>
      <c r="G619" s="239">
        <f>SUM(H619:H619)</f>
        <v>5</v>
      </c>
      <c r="H619" s="239">
        <f>SUM(H620)</f>
        <v>5</v>
      </c>
      <c r="I619" s="239"/>
      <c r="J619" s="239"/>
      <c r="K619" s="239"/>
      <c r="L619" s="214">
        <f>'ИСПОЛНЕНИЕ 1 КВ.'!H620+'ИСПОЛНЕНИЕ 2 КВ. '!I629</f>
        <v>0</v>
      </c>
      <c r="M619" s="239"/>
    </row>
    <row r="620" spans="1:13" s="21" customFormat="1" ht="25.5" hidden="1">
      <c r="A620" s="12" t="s">
        <v>41</v>
      </c>
      <c r="B620" s="20"/>
      <c r="C620" s="20"/>
      <c r="D620" s="20"/>
      <c r="E620" s="20"/>
      <c r="F620" s="20"/>
      <c r="G620" s="236">
        <f>SUM(H620:H620)</f>
        <v>5</v>
      </c>
      <c r="H620" s="236">
        <v>5</v>
      </c>
      <c r="I620" s="236"/>
      <c r="J620" s="236"/>
      <c r="K620" s="236"/>
      <c r="L620" s="214">
        <f>'ИСПОЛНЕНИЕ 1 КВ.'!H621+'ИСПОЛНЕНИЕ 2 КВ. '!I630</f>
        <v>0</v>
      </c>
      <c r="M620" s="236"/>
    </row>
    <row r="621" spans="1:13" s="45" customFormat="1" ht="12.75" hidden="1">
      <c r="A621" s="43" t="s">
        <v>49</v>
      </c>
      <c r="B621" s="44" t="s">
        <v>159</v>
      </c>
      <c r="C621" s="14" t="s">
        <v>125</v>
      </c>
      <c r="D621" s="44" t="s">
        <v>69</v>
      </c>
      <c r="E621" s="44" t="s">
        <v>50</v>
      </c>
      <c r="F621" s="44"/>
      <c r="G621" s="239">
        <f>SUM(G622,G626)</f>
        <v>5</v>
      </c>
      <c r="H621" s="239">
        <f>SUM(H622,H626)</f>
        <v>5</v>
      </c>
      <c r="I621" s="239"/>
      <c r="J621" s="239"/>
      <c r="K621" s="239"/>
      <c r="L621" s="214">
        <f>'ИСПОЛНЕНИЕ 1 КВ.'!H622+'ИСПОЛНЕНИЕ 2 КВ. '!I631</f>
        <v>0</v>
      </c>
      <c r="M621" s="239"/>
    </row>
    <row r="622" spans="1:13" s="21" customFormat="1" ht="12.75" hidden="1">
      <c r="A622" s="16" t="s">
        <v>51</v>
      </c>
      <c r="B622" s="17" t="s">
        <v>159</v>
      </c>
      <c r="C622" s="17" t="s">
        <v>125</v>
      </c>
      <c r="D622" s="17" t="s">
        <v>69</v>
      </c>
      <c r="E622" s="17" t="s">
        <v>52</v>
      </c>
      <c r="F622" s="17"/>
      <c r="G622" s="240">
        <f>SUM(G623:G625)</f>
        <v>0</v>
      </c>
      <c r="H622" s="240">
        <f>SUM(H623:H625)</f>
        <v>0</v>
      </c>
      <c r="I622" s="236"/>
      <c r="J622" s="236"/>
      <c r="K622" s="236"/>
      <c r="L622" s="214">
        <f>'ИСПОЛНЕНИЕ 1 КВ.'!H623+'ИСПОЛНЕНИЕ 2 КВ. '!I632</f>
        <v>0</v>
      </c>
      <c r="M622" s="236"/>
    </row>
    <row r="623" spans="1:13" s="21" customFormat="1" ht="12.75" hidden="1">
      <c r="A623" s="7" t="s">
        <v>53</v>
      </c>
      <c r="B623" s="20"/>
      <c r="C623" s="20"/>
      <c r="D623" s="20"/>
      <c r="E623" s="20"/>
      <c r="F623" s="20" t="s">
        <v>223</v>
      </c>
      <c r="G623" s="236">
        <f>SUM(H623:H623)</f>
        <v>0</v>
      </c>
      <c r="H623" s="236"/>
      <c r="I623" s="236"/>
      <c r="J623" s="236"/>
      <c r="K623" s="236"/>
      <c r="L623" s="214">
        <f>'ИСПОЛНЕНИЕ 1 КВ.'!H624+'ИСПОЛНЕНИЕ 2 КВ. '!I633</f>
        <v>0</v>
      </c>
      <c r="M623" s="236"/>
    </row>
    <row r="624" spans="1:13" s="21" customFormat="1" ht="52.5" customHeight="1" hidden="1">
      <c r="A624" s="7" t="s">
        <v>54</v>
      </c>
      <c r="B624" s="20"/>
      <c r="C624" s="20"/>
      <c r="D624" s="20"/>
      <c r="E624" s="20"/>
      <c r="F624" s="20" t="s">
        <v>194</v>
      </c>
      <c r="G624" s="236">
        <f>SUM(H624:H624)</f>
        <v>0</v>
      </c>
      <c r="H624" s="236"/>
      <c r="I624" s="236"/>
      <c r="J624" s="236"/>
      <c r="K624" s="236"/>
      <c r="L624" s="214">
        <f>'ИСПОЛНЕНИЕ 1 КВ.'!H625+'ИСПОЛНЕНИЕ 2 КВ. '!I634</f>
        <v>0</v>
      </c>
      <c r="M624" s="236"/>
    </row>
    <row r="625" spans="1:13" s="21" customFormat="1" ht="51" customHeight="1" hidden="1">
      <c r="A625" s="7" t="s">
        <v>55</v>
      </c>
      <c r="B625" s="20"/>
      <c r="C625" s="20"/>
      <c r="D625" s="20"/>
      <c r="E625" s="20"/>
      <c r="F625" s="20" t="s">
        <v>193</v>
      </c>
      <c r="G625" s="236">
        <f>SUM(H625:H625)</f>
        <v>0</v>
      </c>
      <c r="H625" s="236"/>
      <c r="I625" s="236"/>
      <c r="J625" s="236"/>
      <c r="K625" s="236"/>
      <c r="L625" s="214">
        <f>'ИСПОЛНЕНИЕ 1 КВ.'!H626+'ИСПОЛНЕНИЕ 2 КВ. '!I635</f>
        <v>0</v>
      </c>
      <c r="M625" s="236"/>
    </row>
    <row r="626" spans="1:13" s="21" customFormat="1" ht="15.75" customHeight="1" hidden="1">
      <c r="A626" s="16" t="s">
        <v>56</v>
      </c>
      <c r="B626" s="17" t="s">
        <v>159</v>
      </c>
      <c r="C626" s="17" t="s">
        <v>125</v>
      </c>
      <c r="D626" s="17" t="s">
        <v>69</v>
      </c>
      <c r="E626" s="17" t="s">
        <v>57</v>
      </c>
      <c r="F626" s="17"/>
      <c r="G626" s="240">
        <f>SUM(G627:G630)</f>
        <v>5</v>
      </c>
      <c r="H626" s="240">
        <f>SUM(H627:H630)</f>
        <v>5</v>
      </c>
      <c r="I626" s="236"/>
      <c r="J626" s="236"/>
      <c r="K626" s="236"/>
      <c r="L626" s="214">
        <f>'ИСПОЛНЕНИЕ 1 КВ.'!H627+'ИСПОЛНЕНИЕ 2 КВ. '!I636</f>
        <v>0</v>
      </c>
      <c r="M626" s="236"/>
    </row>
    <row r="627" spans="1:13" s="21" customFormat="1" ht="25.5" hidden="1">
      <c r="A627" s="7" t="s">
        <v>58</v>
      </c>
      <c r="B627" s="20"/>
      <c r="C627" s="20"/>
      <c r="D627" s="20"/>
      <c r="E627" s="20"/>
      <c r="F627" s="20" t="s">
        <v>195</v>
      </c>
      <c r="G627" s="236">
        <f>SUM(H627:H627)</f>
        <v>0</v>
      </c>
      <c r="H627" s="236"/>
      <c r="I627" s="236"/>
      <c r="J627" s="236"/>
      <c r="K627" s="236"/>
      <c r="L627" s="214">
        <f>'ИСПОЛНЕНИЕ 1 КВ.'!H628+'ИСПОЛНЕНИЕ 2 КВ. '!I637</f>
        <v>0</v>
      </c>
      <c r="M627" s="236"/>
    </row>
    <row r="628" spans="1:13" s="21" customFormat="1" ht="12.75" hidden="1">
      <c r="A628" s="7" t="s">
        <v>59</v>
      </c>
      <c r="B628" s="20"/>
      <c r="C628" s="20"/>
      <c r="D628" s="20"/>
      <c r="E628" s="20"/>
      <c r="F628" s="20" t="s">
        <v>196</v>
      </c>
      <c r="G628" s="236">
        <f>SUM(H628:H628)</f>
        <v>0</v>
      </c>
      <c r="H628" s="236"/>
      <c r="I628" s="236"/>
      <c r="J628" s="236"/>
      <c r="K628" s="236"/>
      <c r="L628" s="214">
        <f>'ИСПОЛНЕНИЕ 1 КВ.'!H629+'ИСПОЛНЕНИЕ 2 КВ. '!I638</f>
        <v>0</v>
      </c>
      <c r="M628" s="236"/>
    </row>
    <row r="629" spans="1:13" s="21" customFormat="1" ht="9.75" customHeight="1" hidden="1">
      <c r="A629" s="7" t="s">
        <v>60</v>
      </c>
      <c r="B629" s="20"/>
      <c r="C629" s="20"/>
      <c r="D629" s="20"/>
      <c r="E629" s="20"/>
      <c r="F629" s="20" t="s">
        <v>197</v>
      </c>
      <c r="G629" s="236">
        <f>SUM(H629:H629)</f>
        <v>0</v>
      </c>
      <c r="H629" s="236"/>
      <c r="I629" s="236"/>
      <c r="J629" s="236"/>
      <c r="K629" s="236"/>
      <c r="L629" s="214">
        <f>'ИСПОЛНЕНИЕ 1 КВ.'!H630+'ИСПОЛНЕНИЕ 2 КВ. '!I639</f>
        <v>0</v>
      </c>
      <c r="M629" s="236"/>
    </row>
    <row r="630" spans="1:13" s="21" customFormat="1" ht="39" customHeight="1" hidden="1">
      <c r="A630" s="7" t="s">
        <v>61</v>
      </c>
      <c r="B630" s="20"/>
      <c r="C630" s="20"/>
      <c r="D630" s="20"/>
      <c r="E630" s="20"/>
      <c r="F630" s="20" t="s">
        <v>198</v>
      </c>
      <c r="G630" s="236">
        <f>SUM(H630:H630)</f>
        <v>5</v>
      </c>
      <c r="H630" s="236">
        <v>5</v>
      </c>
      <c r="I630" s="236"/>
      <c r="J630" s="236"/>
      <c r="K630" s="236"/>
      <c r="L630" s="214">
        <f>'ИСПОЛНЕНИЕ 1 КВ.'!H631+'ИСПОЛНЕНИЕ 2 КВ. '!I640</f>
        <v>0</v>
      </c>
      <c r="M630" s="236"/>
    </row>
    <row r="631" spans="1:13" s="21" customFormat="1" ht="12.75" hidden="1">
      <c r="A631" s="7"/>
      <c r="B631" s="20"/>
      <c r="C631" s="20"/>
      <c r="D631" s="20"/>
      <c r="E631" s="20"/>
      <c r="F631" s="20"/>
      <c r="G631" s="236"/>
      <c r="H631" s="236"/>
      <c r="I631" s="236"/>
      <c r="J631" s="236"/>
      <c r="K631" s="236"/>
      <c r="L631" s="214">
        <f>'ИСПОЛНЕНИЕ 1 КВ.'!H632+'ИСПОЛНЕНИЕ 2 КВ. '!I641</f>
        <v>0</v>
      </c>
      <c r="M631" s="236"/>
    </row>
    <row r="632" spans="1:13" s="21" customFormat="1" ht="12.75" hidden="1">
      <c r="A632" s="26" t="s">
        <v>75</v>
      </c>
      <c r="B632" s="24" t="s">
        <v>156</v>
      </c>
      <c r="C632" s="24" t="s">
        <v>88</v>
      </c>
      <c r="D632" s="24" t="s">
        <v>2</v>
      </c>
      <c r="E632" s="24"/>
      <c r="F632" s="24"/>
      <c r="G632" s="253"/>
      <c r="H632" s="253">
        <f>SUM(H633,H641,H661,H665,H667)</f>
        <v>0</v>
      </c>
      <c r="I632" s="236"/>
      <c r="J632" s="236"/>
      <c r="K632" s="236"/>
      <c r="L632" s="214">
        <f>'ИСПОЛНЕНИЕ 1 КВ.'!H633+'ИСПОЛНЕНИЕ 2 КВ. '!I642</f>
        <v>0</v>
      </c>
      <c r="M632" s="236"/>
    </row>
    <row r="633" spans="1:13" s="45" customFormat="1" ht="25.5" hidden="1">
      <c r="A633" s="43" t="s">
        <v>4</v>
      </c>
      <c r="B633" s="44" t="s">
        <v>156</v>
      </c>
      <c r="C633" s="44" t="s">
        <v>88</v>
      </c>
      <c r="D633" s="44" t="s">
        <v>2</v>
      </c>
      <c r="E633" s="44" t="s">
        <v>5</v>
      </c>
      <c r="F633" s="44"/>
      <c r="G633" s="239">
        <f>SUM(G634,G635,G640)</f>
        <v>0</v>
      </c>
      <c r="H633" s="239"/>
      <c r="I633" s="239"/>
      <c r="J633" s="239"/>
      <c r="K633" s="239"/>
      <c r="L633" s="214">
        <f>'ИСПОЛНЕНИЕ 1 КВ.'!H634+'ИСПОЛНЕНИЕ 2 КВ. '!I643</f>
        <v>0</v>
      </c>
      <c r="M633" s="239"/>
    </row>
    <row r="634" spans="1:13" s="28" customFormat="1" ht="12.75" hidden="1">
      <c r="A634" s="87" t="s">
        <v>6</v>
      </c>
      <c r="B634" s="27" t="s">
        <v>156</v>
      </c>
      <c r="C634" s="27" t="s">
        <v>88</v>
      </c>
      <c r="D634" s="27" t="s">
        <v>2</v>
      </c>
      <c r="E634" s="27" t="s">
        <v>7</v>
      </c>
      <c r="F634" s="27"/>
      <c r="G634" s="249">
        <f>SUM(H634:H634)</f>
        <v>0</v>
      </c>
      <c r="H634" s="249"/>
      <c r="I634" s="249"/>
      <c r="J634" s="249"/>
      <c r="K634" s="249"/>
      <c r="L634" s="214">
        <f>'ИСПОЛНЕНИЕ 1 КВ.'!H635+'ИСПОЛНЕНИЕ 2 КВ. '!I644</f>
        <v>0</v>
      </c>
      <c r="M634" s="249"/>
    </row>
    <row r="635" spans="1:13" s="28" customFormat="1" ht="12.75" hidden="1">
      <c r="A635" s="87" t="s">
        <v>8</v>
      </c>
      <c r="B635" s="27" t="s">
        <v>156</v>
      </c>
      <c r="C635" s="27" t="s">
        <v>88</v>
      </c>
      <c r="D635" s="27" t="s">
        <v>2</v>
      </c>
      <c r="E635" s="27" t="s">
        <v>9</v>
      </c>
      <c r="F635" s="27"/>
      <c r="G635" s="249">
        <f>SUM(G636:G639)</f>
        <v>0</v>
      </c>
      <c r="H635" s="249"/>
      <c r="I635" s="249"/>
      <c r="J635" s="249"/>
      <c r="K635" s="249"/>
      <c r="L635" s="214">
        <f>'ИСПОЛНЕНИЕ 1 КВ.'!H636+'ИСПОЛНЕНИЕ 2 КВ. '!I645</f>
        <v>0</v>
      </c>
      <c r="M635" s="249"/>
    </row>
    <row r="636" spans="1:13" s="21" customFormat="1" ht="25.5" hidden="1">
      <c r="A636" s="11" t="s">
        <v>10</v>
      </c>
      <c r="B636" s="29"/>
      <c r="C636" s="29"/>
      <c r="D636" s="29"/>
      <c r="E636" s="4"/>
      <c r="F636" s="4" t="s">
        <v>183</v>
      </c>
      <c r="G636" s="250">
        <f aca="true" t="shared" si="65" ref="G636:G642">SUM(H636:H636)</f>
        <v>0</v>
      </c>
      <c r="H636" s="240"/>
      <c r="I636" s="236"/>
      <c r="J636" s="236"/>
      <c r="K636" s="236"/>
      <c r="L636" s="214">
        <f>'ИСПОЛНЕНИЕ 1 КВ.'!H637+'ИСПОЛНЕНИЕ 2 КВ. '!I646</f>
        <v>0</v>
      </c>
      <c r="M636" s="236"/>
    </row>
    <row r="637" spans="1:13" s="21" customFormat="1" ht="12.75" customHeight="1" hidden="1">
      <c r="A637" s="12" t="s">
        <v>11</v>
      </c>
      <c r="B637" s="29"/>
      <c r="C637" s="29"/>
      <c r="D637" s="29"/>
      <c r="E637" s="4"/>
      <c r="F637" s="4" t="s">
        <v>200</v>
      </c>
      <c r="G637" s="250">
        <f t="shared" si="65"/>
        <v>0</v>
      </c>
      <c r="H637" s="240"/>
      <c r="I637" s="236"/>
      <c r="J637" s="236"/>
      <c r="K637" s="236"/>
      <c r="L637" s="214">
        <f>'ИСПОЛНЕНИЕ 1 КВ.'!H638+'ИСПОЛНЕНИЕ 2 КВ. '!I647</f>
        <v>0</v>
      </c>
      <c r="M637" s="236"/>
    </row>
    <row r="638" spans="1:13" s="30" customFormat="1" ht="12.75" hidden="1">
      <c r="A638" s="65" t="s">
        <v>130</v>
      </c>
      <c r="B638" s="29"/>
      <c r="C638" s="29"/>
      <c r="D638" s="29"/>
      <c r="E638" s="29"/>
      <c r="F638" s="29" t="s">
        <v>199</v>
      </c>
      <c r="G638" s="254">
        <f t="shared" si="65"/>
        <v>0</v>
      </c>
      <c r="H638" s="240"/>
      <c r="I638" s="254"/>
      <c r="J638" s="254"/>
      <c r="K638" s="254"/>
      <c r="L638" s="214">
        <f>'ИСПОЛНЕНИЕ 1 КВ.'!H639+'ИСПОЛНЕНИЕ 2 КВ. '!I648</f>
        <v>0</v>
      </c>
      <c r="M638" s="254"/>
    </row>
    <row r="639" spans="1:13" s="21" customFormat="1" ht="25.5" hidden="1">
      <c r="A639" s="6" t="s">
        <v>12</v>
      </c>
      <c r="B639" s="29"/>
      <c r="C639" s="29"/>
      <c r="D639" s="29"/>
      <c r="E639" s="4"/>
      <c r="F639" s="4" t="s">
        <v>184</v>
      </c>
      <c r="G639" s="250">
        <f t="shared" si="65"/>
        <v>0</v>
      </c>
      <c r="H639" s="240"/>
      <c r="I639" s="236"/>
      <c r="J639" s="236"/>
      <c r="K639" s="236"/>
      <c r="L639" s="214">
        <f>'ИСПОЛНЕНИЕ 1 КВ.'!H640+'ИСПОЛНЕНИЕ 2 КВ. '!I649</f>
        <v>0</v>
      </c>
      <c r="M639" s="236"/>
    </row>
    <row r="640" spans="1:13" s="28" customFormat="1" ht="12.75" hidden="1">
      <c r="A640" s="87" t="s">
        <v>13</v>
      </c>
      <c r="B640" s="27" t="s">
        <v>156</v>
      </c>
      <c r="C640" s="27" t="s">
        <v>88</v>
      </c>
      <c r="D640" s="27" t="s">
        <v>2</v>
      </c>
      <c r="E640" s="27" t="s">
        <v>14</v>
      </c>
      <c r="F640" s="17"/>
      <c r="G640" s="249">
        <f t="shared" si="65"/>
        <v>0</v>
      </c>
      <c r="H640" s="249"/>
      <c r="I640" s="249"/>
      <c r="J640" s="249"/>
      <c r="K640" s="249"/>
      <c r="L640" s="214">
        <f>'ИСПОЛНЕНИЕ 1 КВ.'!H641+'ИСПОЛНЕНИЕ 2 КВ. '!I650</f>
        <v>0</v>
      </c>
      <c r="M640" s="249"/>
    </row>
    <row r="641" spans="1:13" s="45" customFormat="1" ht="12.75" hidden="1">
      <c r="A641" s="43" t="s">
        <v>15</v>
      </c>
      <c r="B641" s="50" t="s">
        <v>156</v>
      </c>
      <c r="C641" s="50" t="s">
        <v>88</v>
      </c>
      <c r="D641" s="50" t="s">
        <v>2</v>
      </c>
      <c r="E641" s="44" t="s">
        <v>16</v>
      </c>
      <c r="F641" s="44"/>
      <c r="G641" s="239">
        <f t="shared" si="65"/>
        <v>0</v>
      </c>
      <c r="H641" s="239"/>
      <c r="I641" s="239"/>
      <c r="J641" s="239"/>
      <c r="K641" s="239"/>
      <c r="L641" s="214">
        <f>'ИСПОЛНЕНИЕ 1 КВ.'!H642+'ИСПОЛНЕНИЕ 2 КВ. '!I651</f>
        <v>0</v>
      </c>
      <c r="M641" s="239"/>
    </row>
    <row r="642" spans="1:13" s="28" customFormat="1" ht="12.75" hidden="1">
      <c r="A642" s="87" t="s">
        <v>17</v>
      </c>
      <c r="B642" s="27" t="s">
        <v>156</v>
      </c>
      <c r="C642" s="27" t="s">
        <v>88</v>
      </c>
      <c r="D642" s="27" t="s">
        <v>2</v>
      </c>
      <c r="E642" s="27" t="s">
        <v>18</v>
      </c>
      <c r="F642" s="17"/>
      <c r="G642" s="249">
        <f t="shared" si="65"/>
        <v>0</v>
      </c>
      <c r="H642" s="249"/>
      <c r="I642" s="249"/>
      <c r="J642" s="249"/>
      <c r="K642" s="249"/>
      <c r="L642" s="214">
        <f>'ИСПОЛНЕНИЕ 1 КВ.'!H643+'ИСПОЛНЕНИЕ 2 КВ. '!I652</f>
        <v>0</v>
      </c>
      <c r="M642" s="249"/>
    </row>
    <row r="643" spans="1:13" s="28" customFormat="1" ht="12.75" hidden="1">
      <c r="A643" s="87" t="s">
        <v>21</v>
      </c>
      <c r="B643" s="27" t="s">
        <v>156</v>
      </c>
      <c r="C643" s="27" t="s">
        <v>88</v>
      </c>
      <c r="D643" s="27" t="s">
        <v>2</v>
      </c>
      <c r="E643" s="27" t="s">
        <v>19</v>
      </c>
      <c r="F643" s="17"/>
      <c r="G643" s="249">
        <f>SUM(G644:G645)</f>
        <v>0</v>
      </c>
      <c r="H643" s="249"/>
      <c r="I643" s="249"/>
      <c r="J643" s="249"/>
      <c r="K643" s="249"/>
      <c r="L643" s="214">
        <f>'ИСПОЛНЕНИЕ 1 КВ.'!H644+'ИСПОЛНЕНИЕ 2 КВ. '!I653</f>
        <v>0</v>
      </c>
      <c r="M643" s="249"/>
    </row>
    <row r="644" spans="1:13" s="21" customFormat="1" ht="24" customHeight="1" hidden="1">
      <c r="A644" s="11" t="s">
        <v>20</v>
      </c>
      <c r="B644" s="29"/>
      <c r="C644" s="29"/>
      <c r="D644" s="29"/>
      <c r="E644" s="4"/>
      <c r="F644" s="4" t="s">
        <v>183</v>
      </c>
      <c r="G644" s="250">
        <f>SUM(H644:H644)</f>
        <v>0</v>
      </c>
      <c r="H644" s="240"/>
      <c r="I644" s="236"/>
      <c r="J644" s="236"/>
      <c r="K644" s="236"/>
      <c r="L644" s="214">
        <f>'ИСПОЛНЕНИЕ 1 КВ.'!H645+'ИСПОЛНЕНИЕ 2 КВ. '!I654</f>
        <v>0</v>
      </c>
      <c r="M644" s="236"/>
    </row>
    <row r="645" spans="1:13" s="21" customFormat="1" ht="38.25" hidden="1">
      <c r="A645" s="8" t="s">
        <v>22</v>
      </c>
      <c r="B645" s="29"/>
      <c r="C645" s="29"/>
      <c r="D645" s="29"/>
      <c r="E645" s="4"/>
      <c r="F645" s="4" t="s">
        <v>185</v>
      </c>
      <c r="G645" s="250">
        <f>SUM(H645:H645)</f>
        <v>0</v>
      </c>
      <c r="H645" s="240"/>
      <c r="I645" s="236"/>
      <c r="J645" s="236"/>
      <c r="K645" s="236"/>
      <c r="L645" s="214">
        <f>'ИСПОЛНЕНИЕ 1 КВ.'!H646+'ИСПОЛНЕНИЕ 2 КВ. '!I655</f>
        <v>0</v>
      </c>
      <c r="M645" s="236"/>
    </row>
    <row r="646" spans="1:13" s="21" customFormat="1" ht="12.75" hidden="1">
      <c r="A646" s="16" t="s">
        <v>23</v>
      </c>
      <c r="B646" s="27" t="s">
        <v>156</v>
      </c>
      <c r="C646" s="27" t="s">
        <v>88</v>
      </c>
      <c r="D646" s="27" t="s">
        <v>2</v>
      </c>
      <c r="E646" s="17" t="s">
        <v>24</v>
      </c>
      <c r="F646" s="17"/>
      <c r="G646" s="240">
        <f>SUM(G647:G649)</f>
        <v>0</v>
      </c>
      <c r="H646" s="240"/>
      <c r="I646" s="236"/>
      <c r="J646" s="236"/>
      <c r="K646" s="236"/>
      <c r="L646" s="214">
        <f>'ИСПОЛНЕНИЕ 1 КВ.'!H647+'ИСПОЛНЕНИЕ 2 КВ. '!I656</f>
        <v>0</v>
      </c>
      <c r="M646" s="236"/>
    </row>
    <row r="647" spans="1:13" s="21" customFormat="1" ht="25.5" hidden="1">
      <c r="A647" s="7" t="s">
        <v>25</v>
      </c>
      <c r="B647" s="29"/>
      <c r="C647" s="29"/>
      <c r="D647" s="29"/>
      <c r="E647" s="4"/>
      <c r="F647" s="4" t="s">
        <v>186</v>
      </c>
      <c r="G647" s="250">
        <f>SUM(H647:H647)</f>
        <v>0</v>
      </c>
      <c r="H647" s="240"/>
      <c r="I647" s="236"/>
      <c r="J647" s="236"/>
      <c r="K647" s="236"/>
      <c r="L647" s="214">
        <f>'ИСПОЛНЕНИЕ 1 КВ.'!H648+'ИСПОЛНЕНИЕ 2 КВ. '!I657</f>
        <v>0</v>
      </c>
      <c r="M647" s="236"/>
    </row>
    <row r="648" spans="1:13" s="21" customFormat="1" ht="25.5" hidden="1">
      <c r="A648" s="7" t="s">
        <v>26</v>
      </c>
      <c r="B648" s="29"/>
      <c r="C648" s="29"/>
      <c r="D648" s="29"/>
      <c r="E648" s="4"/>
      <c r="F648" s="4" t="s">
        <v>187</v>
      </c>
      <c r="G648" s="250">
        <f>SUM(H648:H648)</f>
        <v>0</v>
      </c>
      <c r="H648" s="240"/>
      <c r="I648" s="236"/>
      <c r="J648" s="236"/>
      <c r="K648" s="236"/>
      <c r="L648" s="214">
        <f>'ИСПОЛНЕНИЕ 1 КВ.'!H649+'ИСПОЛНЕНИЕ 2 КВ. '!I658</f>
        <v>0</v>
      </c>
      <c r="M648" s="236"/>
    </row>
    <row r="649" spans="1:13" s="21" customFormat="1" ht="12.75" hidden="1">
      <c r="A649" s="7" t="s">
        <v>27</v>
      </c>
      <c r="B649" s="29"/>
      <c r="C649" s="29"/>
      <c r="D649" s="29"/>
      <c r="E649" s="4"/>
      <c r="F649" s="4" t="s">
        <v>188</v>
      </c>
      <c r="G649" s="250">
        <f>SUM(H649:H649)</f>
        <v>0</v>
      </c>
      <c r="H649" s="240"/>
      <c r="I649" s="236"/>
      <c r="J649" s="236"/>
      <c r="K649" s="236"/>
      <c r="L649" s="214">
        <f>'ИСПОЛНЕНИЕ 1 КВ.'!H650+'ИСПОЛНЕНИЕ 2 КВ. '!I659</f>
        <v>0</v>
      </c>
      <c r="M649" s="236"/>
    </row>
    <row r="650" spans="1:13" s="28" customFormat="1" ht="12.75" hidden="1">
      <c r="A650" s="87" t="s">
        <v>28</v>
      </c>
      <c r="B650" s="27" t="s">
        <v>156</v>
      </c>
      <c r="C650" s="27" t="s">
        <v>88</v>
      </c>
      <c r="D650" s="27" t="s">
        <v>2</v>
      </c>
      <c r="E650" s="27" t="s">
        <v>29</v>
      </c>
      <c r="F650" s="17"/>
      <c r="G650" s="249">
        <f>SUM(H650:H650)</f>
        <v>0</v>
      </c>
      <c r="H650" s="249"/>
      <c r="I650" s="249"/>
      <c r="J650" s="249"/>
      <c r="K650" s="249"/>
      <c r="L650" s="214">
        <f>'ИСПОЛНЕНИЕ 1 КВ.'!H651+'ИСПОЛНЕНИЕ 2 КВ. '!I660</f>
        <v>0</v>
      </c>
      <c r="M650" s="249"/>
    </row>
    <row r="651" spans="1:13" s="28" customFormat="1" ht="12.75" hidden="1">
      <c r="A651" s="87" t="s">
        <v>30</v>
      </c>
      <c r="B651" s="27" t="s">
        <v>156</v>
      </c>
      <c r="C651" s="27" t="s">
        <v>88</v>
      </c>
      <c r="D651" s="27" t="s">
        <v>2</v>
      </c>
      <c r="E651" s="27" t="s">
        <v>31</v>
      </c>
      <c r="F651" s="17"/>
      <c r="G651" s="249">
        <f>SUM(G652:G656)</f>
        <v>0</v>
      </c>
      <c r="H651" s="249"/>
      <c r="I651" s="249"/>
      <c r="J651" s="249"/>
      <c r="K651" s="249"/>
      <c r="L651" s="214">
        <f>'ИСПОЛНЕНИЕ 1 КВ.'!H652+'ИСПОЛНЕНИЕ 2 КВ. '!I661</f>
        <v>0</v>
      </c>
      <c r="M651" s="249"/>
    </row>
    <row r="652" spans="1:13" s="21" customFormat="1" ht="12.75" hidden="1">
      <c r="A652" s="7" t="s">
        <v>32</v>
      </c>
      <c r="B652" s="29"/>
      <c r="C652" s="29"/>
      <c r="D652" s="29"/>
      <c r="E652" s="17"/>
      <c r="F652" s="17" t="s">
        <v>189</v>
      </c>
      <c r="G652" s="240">
        <f>SUM(H652:H652)</f>
        <v>0</v>
      </c>
      <c r="H652" s="240"/>
      <c r="I652" s="236"/>
      <c r="J652" s="236"/>
      <c r="K652" s="236"/>
      <c r="L652" s="214">
        <f>'ИСПОЛНЕНИЕ 1 КВ.'!H653+'ИСПОЛНЕНИЕ 2 КВ. '!I662</f>
        <v>0</v>
      </c>
      <c r="M652" s="236"/>
    </row>
    <row r="653" spans="1:13" s="21" customFormat="1" ht="12" customHeight="1" hidden="1">
      <c r="A653" s="7" t="s">
        <v>33</v>
      </c>
      <c r="B653" s="29"/>
      <c r="C653" s="29"/>
      <c r="D653" s="29"/>
      <c r="E653" s="17"/>
      <c r="F653" s="17" t="s">
        <v>191</v>
      </c>
      <c r="G653" s="240">
        <f>SUM(H653:H653)</f>
        <v>0</v>
      </c>
      <c r="H653" s="240"/>
      <c r="I653" s="236"/>
      <c r="J653" s="236"/>
      <c r="K653" s="236"/>
      <c r="L653" s="214">
        <f>'ИСПОЛНЕНИЕ 1 КВ.'!H654+'ИСПОЛНЕНИЕ 2 КВ. '!I663</f>
        <v>0</v>
      </c>
      <c r="M653" s="236"/>
    </row>
    <row r="654" spans="1:13" s="21" customFormat="1" ht="25.5" hidden="1">
      <c r="A654" s="7" t="s">
        <v>34</v>
      </c>
      <c r="B654" s="29"/>
      <c r="C654" s="29"/>
      <c r="D654" s="29"/>
      <c r="E654" s="17"/>
      <c r="F654" s="17" t="s">
        <v>221</v>
      </c>
      <c r="G654" s="240">
        <f>SUM(H654:H654)</f>
        <v>0</v>
      </c>
      <c r="H654" s="240"/>
      <c r="I654" s="236"/>
      <c r="J654" s="236"/>
      <c r="K654" s="236"/>
      <c r="L654" s="214">
        <f>'ИСПОЛНЕНИЕ 1 КВ.'!H655+'ИСПОЛНЕНИЕ 2 КВ. '!I664</f>
        <v>0</v>
      </c>
      <c r="M654" s="236"/>
    </row>
    <row r="655" spans="1:13" s="21" customFormat="1" ht="25.5" hidden="1">
      <c r="A655" s="7" t="s">
        <v>35</v>
      </c>
      <c r="B655" s="29"/>
      <c r="C655" s="29"/>
      <c r="D655" s="29"/>
      <c r="E655" s="17"/>
      <c r="F655" s="17" t="s">
        <v>190</v>
      </c>
      <c r="G655" s="240">
        <f>SUM(H655:H655)</f>
        <v>0</v>
      </c>
      <c r="H655" s="240"/>
      <c r="I655" s="236"/>
      <c r="J655" s="236"/>
      <c r="K655" s="236"/>
      <c r="L655" s="214">
        <f>'ИСПОЛНЕНИЕ 1 КВ.'!H656+'ИСПОЛНЕНИЕ 2 КВ. '!I665</f>
        <v>0</v>
      </c>
      <c r="M655" s="236"/>
    </row>
    <row r="656" spans="1:13" s="21" customFormat="1" ht="51" hidden="1">
      <c r="A656" s="7" t="s">
        <v>36</v>
      </c>
      <c r="B656" s="29"/>
      <c r="C656" s="29"/>
      <c r="D656" s="29"/>
      <c r="E656" s="17"/>
      <c r="F656" s="17" t="s">
        <v>190</v>
      </c>
      <c r="G656" s="240">
        <f>SUM(H656:H656)</f>
        <v>0</v>
      </c>
      <c r="H656" s="240"/>
      <c r="I656" s="236"/>
      <c r="J656" s="236"/>
      <c r="K656" s="236"/>
      <c r="L656" s="214">
        <f>'ИСПОЛНЕНИЕ 1 КВ.'!H657+'ИСПОЛНЕНИЕ 2 КВ. '!I666</f>
        <v>0</v>
      </c>
      <c r="M656" s="236"/>
    </row>
    <row r="657" spans="1:13" s="28" customFormat="1" ht="12.75" hidden="1">
      <c r="A657" s="87" t="s">
        <v>37</v>
      </c>
      <c r="B657" s="27" t="s">
        <v>156</v>
      </c>
      <c r="C657" s="27" t="s">
        <v>88</v>
      </c>
      <c r="D657" s="27" t="s">
        <v>2</v>
      </c>
      <c r="E657" s="27" t="s">
        <v>38</v>
      </c>
      <c r="F657" s="17"/>
      <c r="G657" s="249">
        <f>SUM(G658:G660)</f>
        <v>0</v>
      </c>
      <c r="H657" s="249"/>
      <c r="I657" s="249"/>
      <c r="J657" s="249"/>
      <c r="K657" s="249"/>
      <c r="L657" s="214">
        <f>'ИСПОЛНЕНИЕ 1 КВ.'!H658+'ИСПОЛНЕНИЕ 2 КВ. '!I667</f>
        <v>0</v>
      </c>
      <c r="M657" s="249"/>
    </row>
    <row r="658" spans="1:13" s="21" customFormat="1" ht="38.25" hidden="1">
      <c r="A658" s="11" t="s">
        <v>39</v>
      </c>
      <c r="B658" s="29"/>
      <c r="C658" s="29"/>
      <c r="D658" s="29"/>
      <c r="E658" s="20"/>
      <c r="F658" s="20" t="s">
        <v>183</v>
      </c>
      <c r="G658" s="236">
        <f>SUM(H658:H658)</f>
        <v>0</v>
      </c>
      <c r="H658" s="240"/>
      <c r="I658" s="236"/>
      <c r="J658" s="236"/>
      <c r="K658" s="236"/>
      <c r="L658" s="214">
        <f>'ИСПОЛНЕНИЕ 1 КВ.'!H659+'ИСПОЛНЕНИЕ 2 КВ. '!I668</f>
        <v>0</v>
      </c>
      <c r="M658" s="236"/>
    </row>
    <row r="659" spans="1:13" s="21" customFormat="1" ht="38.25" hidden="1">
      <c r="A659" s="19" t="s">
        <v>40</v>
      </c>
      <c r="B659" s="29"/>
      <c r="C659" s="29"/>
      <c r="D659" s="29"/>
      <c r="E659" s="20"/>
      <c r="F659" s="20" t="s">
        <v>222</v>
      </c>
      <c r="G659" s="236">
        <f>SUM(H659:H659)</f>
        <v>0</v>
      </c>
      <c r="H659" s="240"/>
      <c r="I659" s="236"/>
      <c r="J659" s="236"/>
      <c r="K659" s="236"/>
      <c r="L659" s="214">
        <f>'ИСПОЛНЕНИЕ 1 КВ.'!H660+'ИСПОЛНЕНИЕ 2 КВ. '!I669</f>
        <v>0</v>
      </c>
      <c r="M659" s="236"/>
    </row>
    <row r="660" spans="1:13" s="21" customFormat="1" ht="25.5" hidden="1">
      <c r="A660" s="12" t="s">
        <v>41</v>
      </c>
      <c r="B660" s="29"/>
      <c r="C660" s="29"/>
      <c r="D660" s="29"/>
      <c r="E660" s="20"/>
      <c r="F660" s="20" t="s">
        <v>192</v>
      </c>
      <c r="G660" s="236">
        <f>SUM(H660:H660)</f>
        <v>0</v>
      </c>
      <c r="H660" s="240"/>
      <c r="I660" s="236"/>
      <c r="J660" s="236"/>
      <c r="K660" s="236"/>
      <c r="L660" s="214">
        <f>'ИСПОЛНЕНИЕ 1 КВ.'!H661+'ИСПОЛНЕНИЕ 2 КВ. '!I670</f>
        <v>0</v>
      </c>
      <c r="M660" s="236"/>
    </row>
    <row r="661" spans="1:13" s="45" customFormat="1" ht="12.75" hidden="1">
      <c r="A661" s="43" t="s">
        <v>42</v>
      </c>
      <c r="B661" s="44" t="s">
        <v>156</v>
      </c>
      <c r="C661" s="44" t="s">
        <v>88</v>
      </c>
      <c r="D661" s="44" t="s">
        <v>2</v>
      </c>
      <c r="E661" s="44" t="s">
        <v>43</v>
      </c>
      <c r="F661" s="44"/>
      <c r="G661" s="239">
        <f>SUM(G662)</f>
        <v>0</v>
      </c>
      <c r="H661" s="239"/>
      <c r="I661" s="239"/>
      <c r="J661" s="239"/>
      <c r="K661" s="239"/>
      <c r="L661" s="214">
        <f>'ИСПОЛНЕНИЕ 1 КВ.'!H662+'ИСПОЛНЕНИЕ 2 КВ. '!I671</f>
        <v>0</v>
      </c>
      <c r="M661" s="239"/>
    </row>
    <row r="662" spans="1:13" s="28" customFormat="1" ht="12.75" hidden="1">
      <c r="A662" s="87" t="s">
        <v>44</v>
      </c>
      <c r="B662" s="27" t="s">
        <v>156</v>
      </c>
      <c r="C662" s="27" t="s">
        <v>88</v>
      </c>
      <c r="D662" s="27" t="s">
        <v>2</v>
      </c>
      <c r="E662" s="27" t="s">
        <v>45</v>
      </c>
      <c r="F662" s="17"/>
      <c r="G662" s="249">
        <f>SUM(H662:H662)</f>
        <v>0</v>
      </c>
      <c r="H662" s="249"/>
      <c r="I662" s="249"/>
      <c r="J662" s="249"/>
      <c r="K662" s="249"/>
      <c r="L662" s="214">
        <f>'ИСПОЛНЕНИЕ 1 КВ.'!H663+'ИСПОЛНЕНИЕ 2 КВ. '!I672</f>
        <v>0</v>
      </c>
      <c r="M662" s="249"/>
    </row>
    <row r="663" spans="1:13" s="21" customFormat="1" ht="12.75" hidden="1">
      <c r="A663" s="6" t="s">
        <v>46</v>
      </c>
      <c r="B663" s="29"/>
      <c r="C663" s="29"/>
      <c r="D663" s="29"/>
      <c r="E663" s="20"/>
      <c r="F663" s="20"/>
      <c r="G663" s="236">
        <f>SUM(H663:H663)</f>
        <v>0</v>
      </c>
      <c r="H663" s="236"/>
      <c r="I663" s="236"/>
      <c r="J663" s="236"/>
      <c r="K663" s="236"/>
      <c r="L663" s="214">
        <f>'ИСПОЛНЕНИЕ 1 КВ.'!H664+'ИСПОЛНЕНИЕ 2 КВ. '!I673</f>
        <v>0</v>
      </c>
      <c r="M663" s="236"/>
    </row>
    <row r="664" spans="1:13" s="28" customFormat="1" ht="12.75" hidden="1">
      <c r="A664" s="64" t="s">
        <v>129</v>
      </c>
      <c r="B664" s="27"/>
      <c r="C664" s="27"/>
      <c r="D664" s="27"/>
      <c r="E664" s="27"/>
      <c r="F664" s="20" t="s">
        <v>209</v>
      </c>
      <c r="G664" s="249">
        <f>SUM(H664:H664)</f>
        <v>0</v>
      </c>
      <c r="H664" s="249"/>
      <c r="I664" s="249"/>
      <c r="J664" s="249"/>
      <c r="K664" s="249"/>
      <c r="L664" s="214">
        <f>'ИСПОЛНЕНИЕ 1 КВ.'!H665+'ИСПОЛНЕНИЕ 2 КВ. '!I674</f>
        <v>0</v>
      </c>
      <c r="M664" s="249"/>
    </row>
    <row r="665" spans="1:13" s="45" customFormat="1" ht="12.75" hidden="1">
      <c r="A665" s="43" t="s">
        <v>47</v>
      </c>
      <c r="B665" s="44" t="s">
        <v>156</v>
      </c>
      <c r="C665" s="44" t="s">
        <v>88</v>
      </c>
      <c r="D665" s="44" t="s">
        <v>2</v>
      </c>
      <c r="E665" s="44" t="s">
        <v>48</v>
      </c>
      <c r="F665" s="44"/>
      <c r="G665" s="239">
        <f>SUM(H665:H665)</f>
        <v>0</v>
      </c>
      <c r="H665" s="239"/>
      <c r="I665" s="239"/>
      <c r="J665" s="239"/>
      <c r="K665" s="239"/>
      <c r="L665" s="214">
        <f>'ИСПОЛНЕНИЕ 1 КВ.'!H666+'ИСПОЛНЕНИЕ 2 КВ. '!I675</f>
        <v>0</v>
      </c>
      <c r="M665" s="239"/>
    </row>
    <row r="666" spans="1:13" s="21" customFormat="1" ht="25.5" hidden="1">
      <c r="A666" s="12" t="s">
        <v>41</v>
      </c>
      <c r="B666" s="29"/>
      <c r="C666" s="29"/>
      <c r="D666" s="29"/>
      <c r="E666" s="20"/>
      <c r="F666" s="20"/>
      <c r="G666" s="236">
        <f>SUM(H666:H666)</f>
        <v>0</v>
      </c>
      <c r="H666" s="236"/>
      <c r="I666" s="236"/>
      <c r="J666" s="236"/>
      <c r="K666" s="236"/>
      <c r="L666" s="214">
        <f>'ИСПОЛНЕНИЕ 1 КВ.'!H667+'ИСПОЛНЕНИЕ 2 КВ. '!I676</f>
        <v>0</v>
      </c>
      <c r="M666" s="236"/>
    </row>
    <row r="667" spans="1:13" s="45" customFormat="1" ht="12.75" hidden="1">
      <c r="A667" s="43" t="s">
        <v>49</v>
      </c>
      <c r="B667" s="44" t="s">
        <v>156</v>
      </c>
      <c r="C667" s="44" t="s">
        <v>88</v>
      </c>
      <c r="D667" s="44" t="s">
        <v>2</v>
      </c>
      <c r="E667" s="44" t="s">
        <v>50</v>
      </c>
      <c r="F667" s="44"/>
      <c r="G667" s="239">
        <f>SUM(G668,G672)</f>
        <v>0</v>
      </c>
      <c r="H667" s="239"/>
      <c r="I667" s="239"/>
      <c r="J667" s="239"/>
      <c r="K667" s="239"/>
      <c r="L667" s="214">
        <f>'ИСПОЛНЕНИЕ 1 КВ.'!H668+'ИСПОЛНЕНИЕ 2 КВ. '!I677</f>
        <v>0</v>
      </c>
      <c r="M667" s="239"/>
    </row>
    <row r="668" spans="1:13" s="28" customFormat="1" ht="12" customHeight="1" hidden="1">
      <c r="A668" s="87" t="s">
        <v>51</v>
      </c>
      <c r="B668" s="27" t="s">
        <v>156</v>
      </c>
      <c r="C668" s="27" t="s">
        <v>88</v>
      </c>
      <c r="D668" s="27" t="s">
        <v>2</v>
      </c>
      <c r="E668" s="27" t="s">
        <v>52</v>
      </c>
      <c r="F668" s="17"/>
      <c r="G668" s="249">
        <f>SUM(G669:G671)</f>
        <v>0</v>
      </c>
      <c r="H668" s="249"/>
      <c r="I668" s="249"/>
      <c r="J668" s="249"/>
      <c r="K668" s="249"/>
      <c r="L668" s="214">
        <f>'ИСПОЛНЕНИЕ 1 КВ.'!H669+'ИСПОЛНЕНИЕ 2 КВ. '!I678</f>
        <v>0</v>
      </c>
      <c r="M668" s="249"/>
    </row>
    <row r="669" spans="1:13" s="21" customFormat="1" ht="12.75" hidden="1">
      <c r="A669" s="7" t="s">
        <v>53</v>
      </c>
      <c r="B669" s="29"/>
      <c r="C669" s="29"/>
      <c r="D669" s="29"/>
      <c r="E669" s="20"/>
      <c r="F669" s="20" t="s">
        <v>223</v>
      </c>
      <c r="G669" s="236">
        <f>SUM(H669:H669)</f>
        <v>0</v>
      </c>
      <c r="H669" s="236"/>
      <c r="I669" s="236"/>
      <c r="J669" s="236"/>
      <c r="K669" s="236"/>
      <c r="L669" s="214">
        <f>'ИСПОЛНЕНИЕ 1 КВ.'!H670+'ИСПОЛНЕНИЕ 2 КВ. '!I679</f>
        <v>0</v>
      </c>
      <c r="M669" s="236"/>
    </row>
    <row r="670" spans="1:13" s="21" customFormat="1" ht="37.5" customHeight="1" hidden="1">
      <c r="A670" s="7" t="s">
        <v>54</v>
      </c>
      <c r="B670" s="29"/>
      <c r="C670" s="29"/>
      <c r="D670" s="29"/>
      <c r="E670" s="20"/>
      <c r="F670" s="20" t="s">
        <v>194</v>
      </c>
      <c r="G670" s="236">
        <f>SUM(H670:H670)</f>
        <v>0</v>
      </c>
      <c r="H670" s="236"/>
      <c r="I670" s="236"/>
      <c r="J670" s="236"/>
      <c r="K670" s="236"/>
      <c r="L670" s="214">
        <f>'ИСПОЛНЕНИЕ 1 КВ.'!H671+'ИСПОЛНЕНИЕ 2 КВ. '!I680</f>
        <v>0</v>
      </c>
      <c r="M670" s="236"/>
    </row>
    <row r="671" spans="1:13" s="21" customFormat="1" ht="63.75" hidden="1">
      <c r="A671" s="7" t="s">
        <v>55</v>
      </c>
      <c r="B671" s="29"/>
      <c r="C671" s="29"/>
      <c r="D671" s="29"/>
      <c r="E671" s="20"/>
      <c r="F671" s="20" t="s">
        <v>193</v>
      </c>
      <c r="G671" s="236">
        <f>SUM(H671:H671)</f>
        <v>0</v>
      </c>
      <c r="H671" s="236"/>
      <c r="I671" s="236"/>
      <c r="J671" s="236"/>
      <c r="K671" s="236"/>
      <c r="L671" s="214">
        <f>'ИСПОЛНЕНИЕ 1 КВ.'!H672+'ИСПОЛНЕНИЕ 2 КВ. '!I681</f>
        <v>0</v>
      </c>
      <c r="M671" s="236"/>
    </row>
    <row r="672" spans="1:13" s="21" customFormat="1" ht="25.5" hidden="1">
      <c r="A672" s="16" t="s">
        <v>56</v>
      </c>
      <c r="B672" s="27" t="s">
        <v>156</v>
      </c>
      <c r="C672" s="27" t="s">
        <v>88</v>
      </c>
      <c r="D672" s="27" t="s">
        <v>2</v>
      </c>
      <c r="E672" s="17" t="s">
        <v>57</v>
      </c>
      <c r="F672" s="17"/>
      <c r="G672" s="240">
        <f>SUM(G673:G676)</f>
        <v>0</v>
      </c>
      <c r="H672" s="240"/>
      <c r="I672" s="236"/>
      <c r="J672" s="236"/>
      <c r="K672" s="236"/>
      <c r="L672" s="214">
        <f>'ИСПОЛНЕНИЕ 1 КВ.'!H673+'ИСПОЛНЕНИЕ 2 КВ. '!I682</f>
        <v>0</v>
      </c>
      <c r="M672" s="236"/>
    </row>
    <row r="673" spans="1:13" s="21" customFormat="1" ht="25.5" hidden="1">
      <c r="A673" s="7" t="s">
        <v>58</v>
      </c>
      <c r="B673" s="29"/>
      <c r="C673" s="29"/>
      <c r="D673" s="29"/>
      <c r="E673" s="20"/>
      <c r="F673" s="20" t="s">
        <v>195</v>
      </c>
      <c r="G673" s="236">
        <f>SUM(H673:H673)</f>
        <v>0</v>
      </c>
      <c r="H673" s="236"/>
      <c r="I673" s="236"/>
      <c r="J673" s="236"/>
      <c r="K673" s="236"/>
      <c r="L673" s="214">
        <f>'ИСПОЛНЕНИЕ 1 КВ.'!H674+'ИСПОЛНЕНИЕ 2 КВ. '!I683</f>
        <v>0</v>
      </c>
      <c r="M673" s="236"/>
    </row>
    <row r="674" spans="1:13" s="21" customFormat="1" ht="12.75" hidden="1">
      <c r="A674" s="7" t="s">
        <v>59</v>
      </c>
      <c r="B674" s="29"/>
      <c r="C674" s="29"/>
      <c r="D674" s="29"/>
      <c r="E674" s="20"/>
      <c r="F674" s="20" t="s">
        <v>196</v>
      </c>
      <c r="G674" s="236">
        <f>SUM(H674:H674)</f>
        <v>0</v>
      </c>
      <c r="H674" s="236"/>
      <c r="I674" s="236"/>
      <c r="J674" s="236"/>
      <c r="K674" s="236"/>
      <c r="L674" s="214">
        <f>'ИСПОЛНЕНИЕ 1 КВ.'!H675+'ИСПОЛНЕНИЕ 2 КВ. '!I684</f>
        <v>0</v>
      </c>
      <c r="M674" s="236"/>
    </row>
    <row r="675" spans="1:13" s="21" customFormat="1" ht="12.75" hidden="1">
      <c r="A675" s="7" t="s">
        <v>60</v>
      </c>
      <c r="B675" s="29"/>
      <c r="C675" s="29"/>
      <c r="D675" s="29"/>
      <c r="E675" s="20"/>
      <c r="F675" s="20" t="s">
        <v>197</v>
      </c>
      <c r="G675" s="236">
        <f>SUM(H675:H675)</f>
        <v>0</v>
      </c>
      <c r="H675" s="236"/>
      <c r="I675" s="236"/>
      <c r="J675" s="236"/>
      <c r="K675" s="236"/>
      <c r="L675" s="214">
        <f>'ИСПОЛНЕНИЕ 1 КВ.'!H676+'ИСПОЛНЕНИЕ 2 КВ. '!I685</f>
        <v>0</v>
      </c>
      <c r="M675" s="236"/>
    </row>
    <row r="676" spans="1:13" s="21" customFormat="1" ht="38.25" customHeight="1" hidden="1">
      <c r="A676" s="7" t="s">
        <v>61</v>
      </c>
      <c r="B676" s="29"/>
      <c r="C676" s="29"/>
      <c r="D676" s="29"/>
      <c r="E676" s="20"/>
      <c r="F676" s="20" t="s">
        <v>198</v>
      </c>
      <c r="G676" s="236">
        <f>SUM(H676:H676)</f>
        <v>0</v>
      </c>
      <c r="H676" s="236"/>
      <c r="I676" s="236"/>
      <c r="J676" s="236"/>
      <c r="K676" s="236"/>
      <c r="L676" s="214">
        <f>'ИСПОЛНЕНИЕ 1 КВ.'!H677+'ИСПОЛНЕНИЕ 2 КВ. '!I686</f>
        <v>0</v>
      </c>
      <c r="M676" s="236"/>
    </row>
    <row r="677" spans="1:13" s="21" customFormat="1" ht="12.75" hidden="1">
      <c r="A677" s="7"/>
      <c r="B677" s="20"/>
      <c r="C677" s="20"/>
      <c r="D677" s="20"/>
      <c r="E677" s="20"/>
      <c r="F677" s="20"/>
      <c r="G677" s="236"/>
      <c r="H677" s="236"/>
      <c r="I677" s="236"/>
      <c r="J677" s="236"/>
      <c r="K677" s="236"/>
      <c r="L677" s="214">
        <f>'ИСПОЛНЕНИЕ 1 КВ.'!H678+'ИСПОЛНЕНИЕ 2 КВ. '!I687</f>
        <v>0</v>
      </c>
      <c r="M677" s="236"/>
    </row>
    <row r="678" spans="1:13" s="21" customFormat="1" ht="27" customHeight="1">
      <c r="A678" s="49" t="s">
        <v>76</v>
      </c>
      <c r="B678" s="48" t="s">
        <v>160</v>
      </c>
      <c r="C678" s="48" t="s">
        <v>88</v>
      </c>
      <c r="D678" s="48" t="s">
        <v>2</v>
      </c>
      <c r="E678" s="160"/>
      <c r="F678" s="160"/>
      <c r="G678" s="238">
        <f>H678+I678+J678+K678</f>
        <v>1810000</v>
      </c>
      <c r="H678" s="238">
        <f aca="true" t="shared" si="66" ref="H678:M678">H765+H768</f>
        <v>397000</v>
      </c>
      <c r="I678" s="238">
        <f t="shared" si="66"/>
        <v>545500</v>
      </c>
      <c r="J678" s="238">
        <f t="shared" si="66"/>
        <v>570000</v>
      </c>
      <c r="K678" s="238">
        <f t="shared" si="66"/>
        <v>297500</v>
      </c>
      <c r="L678" s="238">
        <f t="shared" si="66"/>
        <v>2426349.27</v>
      </c>
      <c r="M678" s="238">
        <f t="shared" si="66"/>
        <v>-616349.2700000001</v>
      </c>
    </row>
    <row r="679" spans="1:13" s="21" customFormat="1" ht="25.5" hidden="1">
      <c r="A679" s="26" t="s">
        <v>77</v>
      </c>
      <c r="B679" s="24" t="s">
        <v>161</v>
      </c>
      <c r="C679" s="24" t="s">
        <v>126</v>
      </c>
      <c r="D679" s="24" t="s">
        <v>69</v>
      </c>
      <c r="E679" s="24"/>
      <c r="F679" s="24"/>
      <c r="G679" s="252"/>
      <c r="H679" s="252"/>
      <c r="I679" s="236"/>
      <c r="J679" s="236"/>
      <c r="K679" s="236"/>
      <c r="L679" s="214">
        <f>'ИСПОЛНЕНИЕ 1 КВ.'!H680+'ИСПОЛНЕНИЕ 2 КВ. '!I689</f>
        <v>0</v>
      </c>
      <c r="M679" s="236"/>
    </row>
    <row r="680" spans="1:13" s="45" customFormat="1" ht="16.5" customHeight="1" hidden="1">
      <c r="A680" s="43" t="s">
        <v>4</v>
      </c>
      <c r="B680" s="44" t="s">
        <v>161</v>
      </c>
      <c r="C680" s="44" t="s">
        <v>126</v>
      </c>
      <c r="D680" s="44" t="s">
        <v>69</v>
      </c>
      <c r="E680" s="44" t="s">
        <v>5</v>
      </c>
      <c r="F680" s="44"/>
      <c r="G680" s="239"/>
      <c r="H680" s="239"/>
      <c r="I680" s="239"/>
      <c r="J680" s="239"/>
      <c r="K680" s="239"/>
      <c r="L680" s="214">
        <f>'ИСПОЛНЕНИЕ 1 КВ.'!H681+'ИСПОЛНЕНИЕ 2 КВ. '!I690</f>
        <v>0</v>
      </c>
      <c r="M680" s="239"/>
    </row>
    <row r="681" spans="1:13" s="28" customFormat="1" ht="12.75" hidden="1">
      <c r="A681" s="87" t="s">
        <v>6</v>
      </c>
      <c r="B681" s="27" t="s">
        <v>161</v>
      </c>
      <c r="C681" s="27" t="s">
        <v>126</v>
      </c>
      <c r="D681" s="27" t="s">
        <v>69</v>
      </c>
      <c r="E681" s="27" t="s">
        <v>7</v>
      </c>
      <c r="F681" s="27"/>
      <c r="G681" s="249"/>
      <c r="H681" s="249"/>
      <c r="I681" s="249"/>
      <c r="J681" s="249"/>
      <c r="K681" s="249"/>
      <c r="L681" s="214">
        <f>'ИСПОЛНЕНИЕ 1 КВ.'!H682+'ИСПОЛНЕНИЕ 2 КВ. '!I691</f>
        <v>0</v>
      </c>
      <c r="M681" s="249"/>
    </row>
    <row r="682" spans="1:13" s="28" customFormat="1" ht="12.75" hidden="1">
      <c r="A682" s="87" t="s">
        <v>8</v>
      </c>
      <c r="B682" s="27" t="s">
        <v>161</v>
      </c>
      <c r="C682" s="27" t="s">
        <v>126</v>
      </c>
      <c r="D682" s="27" t="s">
        <v>69</v>
      </c>
      <c r="E682" s="27" t="s">
        <v>9</v>
      </c>
      <c r="F682" s="27"/>
      <c r="G682" s="249"/>
      <c r="H682" s="249"/>
      <c r="I682" s="249"/>
      <c r="J682" s="249"/>
      <c r="K682" s="249"/>
      <c r="L682" s="214">
        <f>'ИСПОЛНЕНИЕ 1 КВ.'!H683+'ИСПОЛНЕНИЕ 2 КВ. '!I692</f>
        <v>0</v>
      </c>
      <c r="M682" s="249"/>
    </row>
    <row r="683" spans="1:13" s="21" customFormat="1" ht="25.5" hidden="1">
      <c r="A683" s="11" t="s">
        <v>10</v>
      </c>
      <c r="B683" s="4"/>
      <c r="C683" s="4"/>
      <c r="D683" s="4"/>
      <c r="E683" s="4"/>
      <c r="F683" s="4" t="s">
        <v>183</v>
      </c>
      <c r="G683" s="250"/>
      <c r="H683" s="250"/>
      <c r="I683" s="236"/>
      <c r="J683" s="236"/>
      <c r="K683" s="236"/>
      <c r="L683" s="214">
        <f>'ИСПОЛНЕНИЕ 1 КВ.'!H684+'ИСПОЛНЕНИЕ 2 КВ. '!I693</f>
        <v>0</v>
      </c>
      <c r="M683" s="236"/>
    </row>
    <row r="684" spans="1:13" s="21" customFormat="1" ht="14.25" customHeight="1" hidden="1">
      <c r="A684" s="12" t="s">
        <v>11</v>
      </c>
      <c r="B684" s="4"/>
      <c r="C684" s="4"/>
      <c r="D684" s="4"/>
      <c r="E684" s="4"/>
      <c r="F684" s="4" t="s">
        <v>200</v>
      </c>
      <c r="G684" s="250"/>
      <c r="H684" s="250"/>
      <c r="I684" s="236"/>
      <c r="J684" s="236"/>
      <c r="K684" s="236"/>
      <c r="L684" s="214">
        <f>'ИСПОЛНЕНИЕ 1 КВ.'!H685+'ИСПОЛНЕНИЕ 2 КВ. '!I694</f>
        <v>0</v>
      </c>
      <c r="M684" s="236"/>
    </row>
    <row r="685" spans="1:13" s="21" customFormat="1" ht="25.5" hidden="1">
      <c r="A685" s="6" t="s">
        <v>12</v>
      </c>
      <c r="B685" s="4"/>
      <c r="C685" s="4"/>
      <c r="D685" s="4"/>
      <c r="E685" s="4"/>
      <c r="F685" s="4" t="s">
        <v>184</v>
      </c>
      <c r="G685" s="250"/>
      <c r="H685" s="250"/>
      <c r="I685" s="236"/>
      <c r="J685" s="236"/>
      <c r="K685" s="236"/>
      <c r="L685" s="214">
        <f>'ИСПОЛНЕНИЕ 1 КВ.'!H686+'ИСПОЛНЕНИЕ 2 КВ. '!I695</f>
        <v>0</v>
      </c>
      <c r="M685" s="236"/>
    </row>
    <row r="686" spans="1:13" s="28" customFormat="1" ht="12.75" hidden="1">
      <c r="A686" s="87" t="s">
        <v>13</v>
      </c>
      <c r="B686" s="27" t="s">
        <v>161</v>
      </c>
      <c r="C686" s="27" t="s">
        <v>126</v>
      </c>
      <c r="D686" s="27" t="s">
        <v>69</v>
      </c>
      <c r="E686" s="27" t="s">
        <v>14</v>
      </c>
      <c r="F686" s="27"/>
      <c r="G686" s="249"/>
      <c r="H686" s="249"/>
      <c r="I686" s="249"/>
      <c r="J686" s="249"/>
      <c r="K686" s="249"/>
      <c r="L686" s="214">
        <f>'ИСПОЛНЕНИЕ 1 КВ.'!H687+'ИСПОЛНЕНИЕ 2 КВ. '!I696</f>
        <v>0</v>
      </c>
      <c r="M686" s="249"/>
    </row>
    <row r="687" spans="1:13" s="45" customFormat="1" ht="12.75" hidden="1">
      <c r="A687" s="43" t="s">
        <v>15</v>
      </c>
      <c r="B687" s="44" t="s">
        <v>161</v>
      </c>
      <c r="C687" s="44" t="s">
        <v>126</v>
      </c>
      <c r="D687" s="44" t="s">
        <v>69</v>
      </c>
      <c r="E687" s="44" t="s">
        <v>16</v>
      </c>
      <c r="F687" s="44"/>
      <c r="G687" s="239"/>
      <c r="H687" s="239"/>
      <c r="I687" s="239"/>
      <c r="J687" s="239"/>
      <c r="K687" s="239"/>
      <c r="L687" s="214">
        <f>'ИСПОЛНЕНИЕ 1 КВ.'!H688+'ИСПОЛНЕНИЕ 2 КВ. '!I697</f>
        <v>0</v>
      </c>
      <c r="M687" s="239"/>
    </row>
    <row r="688" spans="1:13" s="28" customFormat="1" ht="12.75" hidden="1">
      <c r="A688" s="87" t="s">
        <v>17</v>
      </c>
      <c r="B688" s="27" t="s">
        <v>161</v>
      </c>
      <c r="C688" s="27" t="s">
        <v>126</v>
      </c>
      <c r="D688" s="27" t="s">
        <v>69</v>
      </c>
      <c r="E688" s="27" t="s">
        <v>18</v>
      </c>
      <c r="F688" s="27"/>
      <c r="G688" s="249"/>
      <c r="H688" s="249"/>
      <c r="I688" s="249"/>
      <c r="J688" s="249"/>
      <c r="K688" s="249"/>
      <c r="L688" s="214">
        <f>'ИСПОЛНЕНИЕ 1 КВ.'!H689+'ИСПОЛНЕНИЕ 2 КВ. '!I698</f>
        <v>0</v>
      </c>
      <c r="M688" s="249"/>
    </row>
    <row r="689" spans="1:13" s="28" customFormat="1" ht="12.75" hidden="1">
      <c r="A689" s="87" t="s">
        <v>21</v>
      </c>
      <c r="B689" s="27" t="s">
        <v>161</v>
      </c>
      <c r="C689" s="27" t="s">
        <v>126</v>
      </c>
      <c r="D689" s="27" t="s">
        <v>69</v>
      </c>
      <c r="E689" s="27" t="s">
        <v>19</v>
      </c>
      <c r="F689" s="27"/>
      <c r="G689" s="249"/>
      <c r="H689" s="249"/>
      <c r="I689" s="249"/>
      <c r="J689" s="249"/>
      <c r="K689" s="249"/>
      <c r="L689" s="214">
        <f>'ИСПОЛНЕНИЕ 1 КВ.'!H690+'ИСПОЛНЕНИЕ 2 КВ. '!I699</f>
        <v>0</v>
      </c>
      <c r="M689" s="249"/>
    </row>
    <row r="690" spans="1:13" s="21" customFormat="1" ht="25.5" hidden="1">
      <c r="A690" s="11" t="s">
        <v>20</v>
      </c>
      <c r="B690" s="4"/>
      <c r="C690" s="4"/>
      <c r="D690" s="4"/>
      <c r="E690" s="4"/>
      <c r="F690" s="4" t="s">
        <v>183</v>
      </c>
      <c r="G690" s="250"/>
      <c r="H690" s="250"/>
      <c r="I690" s="236"/>
      <c r="J690" s="236"/>
      <c r="K690" s="236"/>
      <c r="L690" s="214">
        <f>'ИСПОЛНЕНИЕ 1 КВ.'!H691+'ИСПОЛНЕНИЕ 2 КВ. '!I700</f>
        <v>0</v>
      </c>
      <c r="M690" s="236"/>
    </row>
    <row r="691" spans="1:13" s="21" customFormat="1" ht="38.25" hidden="1">
      <c r="A691" s="8" t="s">
        <v>22</v>
      </c>
      <c r="B691" s="4"/>
      <c r="C691" s="4"/>
      <c r="D691" s="4"/>
      <c r="E691" s="4"/>
      <c r="F691" s="4" t="s">
        <v>185</v>
      </c>
      <c r="G691" s="250"/>
      <c r="H691" s="250"/>
      <c r="I691" s="236"/>
      <c r="J691" s="236"/>
      <c r="K691" s="236"/>
      <c r="L691" s="214">
        <f>'ИСПОЛНЕНИЕ 1 КВ.'!H692+'ИСПОЛНЕНИЕ 2 КВ. '!I701</f>
        <v>0</v>
      </c>
      <c r="M691" s="236"/>
    </row>
    <row r="692" spans="1:13" s="28" customFormat="1" ht="12.75" hidden="1">
      <c r="A692" s="87" t="s">
        <v>23</v>
      </c>
      <c r="B692" s="27" t="s">
        <v>161</v>
      </c>
      <c r="C692" s="27" t="s">
        <v>126</v>
      </c>
      <c r="D692" s="27" t="s">
        <v>69</v>
      </c>
      <c r="E692" s="27" t="s">
        <v>24</v>
      </c>
      <c r="F692" s="27"/>
      <c r="G692" s="249"/>
      <c r="H692" s="249"/>
      <c r="I692" s="249"/>
      <c r="J692" s="249"/>
      <c r="K692" s="249"/>
      <c r="L692" s="214">
        <f>'ИСПОЛНЕНИЕ 1 КВ.'!H693+'ИСПОЛНЕНИЕ 2 КВ. '!I702</f>
        <v>0</v>
      </c>
      <c r="M692" s="249"/>
    </row>
    <row r="693" spans="1:13" s="21" customFormat="1" ht="25.5" hidden="1">
      <c r="A693" s="7" t="s">
        <v>25</v>
      </c>
      <c r="B693" s="4"/>
      <c r="C693" s="4"/>
      <c r="D693" s="4"/>
      <c r="E693" s="4"/>
      <c r="F693" s="4" t="s">
        <v>186</v>
      </c>
      <c r="G693" s="250"/>
      <c r="H693" s="250"/>
      <c r="I693" s="236"/>
      <c r="J693" s="236"/>
      <c r="K693" s="236"/>
      <c r="L693" s="214">
        <f>'ИСПОЛНЕНИЕ 1 КВ.'!H694+'ИСПОЛНЕНИЕ 2 КВ. '!I703</f>
        <v>0</v>
      </c>
      <c r="M693" s="236"/>
    </row>
    <row r="694" spans="1:13" s="21" customFormat="1" ht="25.5" customHeight="1" hidden="1">
      <c r="A694" s="7" t="s">
        <v>26</v>
      </c>
      <c r="B694" s="4"/>
      <c r="C694" s="4"/>
      <c r="D694" s="4"/>
      <c r="E694" s="4"/>
      <c r="F694" s="4" t="s">
        <v>187</v>
      </c>
      <c r="G694" s="250"/>
      <c r="H694" s="250"/>
      <c r="I694" s="236"/>
      <c r="J694" s="236"/>
      <c r="K694" s="236"/>
      <c r="L694" s="214">
        <f>'ИСПОЛНЕНИЕ 1 КВ.'!H695+'ИСПОЛНЕНИЕ 2 КВ. '!I704</f>
        <v>0</v>
      </c>
      <c r="M694" s="236"/>
    </row>
    <row r="695" spans="1:13" s="21" customFormat="1" ht="12.75" hidden="1">
      <c r="A695" s="7" t="s">
        <v>27</v>
      </c>
      <c r="B695" s="4"/>
      <c r="C695" s="4"/>
      <c r="D695" s="4"/>
      <c r="E695" s="4"/>
      <c r="F695" s="4" t="s">
        <v>188</v>
      </c>
      <c r="G695" s="250"/>
      <c r="H695" s="250"/>
      <c r="I695" s="236"/>
      <c r="J695" s="236"/>
      <c r="K695" s="236"/>
      <c r="L695" s="214">
        <f>'ИСПОЛНЕНИЕ 1 КВ.'!H696+'ИСПОЛНЕНИЕ 2 КВ. '!I705</f>
        <v>0</v>
      </c>
      <c r="M695" s="236"/>
    </row>
    <row r="696" spans="1:13" s="28" customFormat="1" ht="13.5" customHeight="1" hidden="1">
      <c r="A696" s="87" t="s">
        <v>28</v>
      </c>
      <c r="B696" s="27" t="s">
        <v>161</v>
      </c>
      <c r="C696" s="27" t="s">
        <v>126</v>
      </c>
      <c r="D696" s="27" t="s">
        <v>69</v>
      </c>
      <c r="E696" s="27" t="s">
        <v>29</v>
      </c>
      <c r="F696" s="27"/>
      <c r="G696" s="249"/>
      <c r="H696" s="249"/>
      <c r="I696" s="249"/>
      <c r="J696" s="249"/>
      <c r="K696" s="249"/>
      <c r="L696" s="214">
        <f>'ИСПОЛНЕНИЕ 1 КВ.'!H697+'ИСПОЛНЕНИЕ 2 КВ. '!I706</f>
        <v>0</v>
      </c>
      <c r="M696" s="249"/>
    </row>
    <row r="697" spans="1:13" s="28" customFormat="1" ht="12.75" hidden="1">
      <c r="A697" s="87" t="s">
        <v>30</v>
      </c>
      <c r="B697" s="27" t="s">
        <v>161</v>
      </c>
      <c r="C697" s="27" t="s">
        <v>126</v>
      </c>
      <c r="D697" s="27" t="s">
        <v>69</v>
      </c>
      <c r="E697" s="27" t="s">
        <v>31</v>
      </c>
      <c r="F697" s="27"/>
      <c r="G697" s="249"/>
      <c r="H697" s="249"/>
      <c r="I697" s="249"/>
      <c r="J697" s="249"/>
      <c r="K697" s="249"/>
      <c r="L697" s="214">
        <f>'ИСПОЛНЕНИЕ 1 КВ.'!H698+'ИСПОЛНЕНИЕ 2 КВ. '!I707</f>
        <v>0</v>
      </c>
      <c r="M697" s="249"/>
    </row>
    <row r="698" spans="1:13" s="21" customFormat="1" ht="12.75" hidden="1">
      <c r="A698" s="7" t="s">
        <v>32</v>
      </c>
      <c r="B698" s="17"/>
      <c r="C698" s="17"/>
      <c r="D698" s="17"/>
      <c r="E698" s="17"/>
      <c r="F698" s="17" t="s">
        <v>189</v>
      </c>
      <c r="G698" s="254"/>
      <c r="H698" s="240"/>
      <c r="I698" s="236"/>
      <c r="J698" s="236"/>
      <c r="K698" s="236"/>
      <c r="L698" s="214">
        <f>'ИСПОЛНЕНИЕ 1 КВ.'!H699+'ИСПОЛНЕНИЕ 2 КВ. '!I708</f>
        <v>0</v>
      </c>
      <c r="M698" s="236"/>
    </row>
    <row r="699" spans="1:13" s="21" customFormat="1" ht="12.75" hidden="1">
      <c r="A699" s="7" t="s">
        <v>33</v>
      </c>
      <c r="B699" s="17"/>
      <c r="C699" s="17"/>
      <c r="D699" s="17"/>
      <c r="E699" s="17"/>
      <c r="F699" s="17" t="s">
        <v>191</v>
      </c>
      <c r="G699" s="254"/>
      <c r="H699" s="240"/>
      <c r="I699" s="236"/>
      <c r="J699" s="236"/>
      <c r="K699" s="236"/>
      <c r="L699" s="214">
        <f>'ИСПОЛНЕНИЕ 1 КВ.'!H700+'ИСПОЛНЕНИЕ 2 КВ. '!I709</f>
        <v>0</v>
      </c>
      <c r="M699" s="236"/>
    </row>
    <row r="700" spans="1:13" s="21" customFormat="1" ht="25.5" hidden="1">
      <c r="A700" s="7" t="s">
        <v>34</v>
      </c>
      <c r="B700" s="17"/>
      <c r="C700" s="17"/>
      <c r="D700" s="17"/>
      <c r="E700" s="17"/>
      <c r="F700" s="17" t="s">
        <v>221</v>
      </c>
      <c r="G700" s="254"/>
      <c r="H700" s="240"/>
      <c r="I700" s="236"/>
      <c r="J700" s="236"/>
      <c r="K700" s="236"/>
      <c r="L700" s="214">
        <f>'ИСПОЛНЕНИЕ 1 КВ.'!H701+'ИСПОЛНЕНИЕ 2 КВ. '!I710</f>
        <v>0</v>
      </c>
      <c r="M700" s="236"/>
    </row>
    <row r="701" spans="1:13" s="21" customFormat="1" ht="25.5" hidden="1">
      <c r="A701" s="7" t="s">
        <v>35</v>
      </c>
      <c r="B701" s="17"/>
      <c r="C701" s="17"/>
      <c r="D701" s="17"/>
      <c r="E701" s="17"/>
      <c r="F701" s="17" t="s">
        <v>190</v>
      </c>
      <c r="G701" s="254"/>
      <c r="H701" s="240"/>
      <c r="I701" s="236"/>
      <c r="J701" s="236"/>
      <c r="K701" s="236"/>
      <c r="L701" s="214">
        <f>'ИСПОЛНЕНИЕ 1 КВ.'!H702+'ИСПОЛНЕНИЕ 2 КВ. '!I711</f>
        <v>0</v>
      </c>
      <c r="M701" s="236"/>
    </row>
    <row r="702" spans="1:13" s="21" customFormat="1" ht="51" hidden="1">
      <c r="A702" s="7" t="s">
        <v>36</v>
      </c>
      <c r="B702" s="17"/>
      <c r="C702" s="17"/>
      <c r="D702" s="17"/>
      <c r="E702" s="17"/>
      <c r="F702" s="17" t="s">
        <v>190</v>
      </c>
      <c r="G702" s="254"/>
      <c r="H702" s="240"/>
      <c r="I702" s="236"/>
      <c r="J702" s="236"/>
      <c r="K702" s="236"/>
      <c r="L702" s="214">
        <f>'ИСПОЛНЕНИЕ 1 КВ.'!H703+'ИСПОЛНЕНИЕ 2 КВ. '!I712</f>
        <v>0</v>
      </c>
      <c r="M702" s="236"/>
    </row>
    <row r="703" spans="1:13" s="28" customFormat="1" ht="12.75" hidden="1">
      <c r="A703" s="87" t="s">
        <v>37</v>
      </c>
      <c r="B703" s="27" t="s">
        <v>161</v>
      </c>
      <c r="C703" s="27" t="s">
        <v>126</v>
      </c>
      <c r="D703" s="27" t="s">
        <v>69</v>
      </c>
      <c r="E703" s="27" t="s">
        <v>38</v>
      </c>
      <c r="F703" s="17"/>
      <c r="G703" s="249"/>
      <c r="H703" s="249"/>
      <c r="I703" s="249"/>
      <c r="J703" s="249"/>
      <c r="K703" s="249"/>
      <c r="L703" s="214">
        <f>'ИСПОЛНЕНИЕ 1 КВ.'!H704+'ИСПОЛНЕНИЕ 2 КВ. '!I713</f>
        <v>0</v>
      </c>
      <c r="M703" s="249"/>
    </row>
    <row r="704" spans="1:13" s="21" customFormat="1" ht="38.25" hidden="1">
      <c r="A704" s="11" t="s">
        <v>39</v>
      </c>
      <c r="B704" s="20"/>
      <c r="C704" s="20"/>
      <c r="D704" s="20"/>
      <c r="E704" s="20"/>
      <c r="F704" s="20" t="s">
        <v>183</v>
      </c>
      <c r="G704" s="236"/>
      <c r="H704" s="236"/>
      <c r="I704" s="236"/>
      <c r="J704" s="236"/>
      <c r="K704" s="236"/>
      <c r="L704" s="214">
        <f>'ИСПОЛНЕНИЕ 1 КВ.'!H705+'ИСПОЛНЕНИЕ 2 КВ. '!I714</f>
        <v>0</v>
      </c>
      <c r="M704" s="236"/>
    </row>
    <row r="705" spans="1:13" s="21" customFormat="1" ht="38.25" hidden="1">
      <c r="A705" s="19" t="s">
        <v>40</v>
      </c>
      <c r="B705" s="20"/>
      <c r="C705" s="20"/>
      <c r="D705" s="20"/>
      <c r="E705" s="20"/>
      <c r="F705" s="20" t="s">
        <v>222</v>
      </c>
      <c r="G705" s="236"/>
      <c r="H705" s="236"/>
      <c r="I705" s="236"/>
      <c r="J705" s="236"/>
      <c r="K705" s="236"/>
      <c r="L705" s="214">
        <f>'ИСПОЛНЕНИЕ 1 КВ.'!H706+'ИСПОЛНЕНИЕ 2 КВ. '!I715</f>
        <v>0</v>
      </c>
      <c r="M705" s="236"/>
    </row>
    <row r="706" spans="1:13" s="21" customFormat="1" ht="26.25" customHeight="1" hidden="1">
      <c r="A706" s="12" t="s">
        <v>41</v>
      </c>
      <c r="B706" s="20"/>
      <c r="C706" s="20"/>
      <c r="D706" s="20"/>
      <c r="E706" s="20"/>
      <c r="F706" s="20" t="s">
        <v>192</v>
      </c>
      <c r="G706" s="236"/>
      <c r="H706" s="236"/>
      <c r="I706" s="236"/>
      <c r="J706" s="236"/>
      <c r="K706" s="236"/>
      <c r="L706" s="214">
        <f>'ИСПОЛНЕНИЕ 1 КВ.'!H707+'ИСПОЛНЕНИЕ 2 КВ. '!I716</f>
        <v>0</v>
      </c>
      <c r="M706" s="236"/>
    </row>
    <row r="707" spans="1:13" s="45" customFormat="1" ht="12.75" hidden="1">
      <c r="A707" s="43" t="s">
        <v>42</v>
      </c>
      <c r="B707" s="44" t="s">
        <v>161</v>
      </c>
      <c r="C707" s="44" t="s">
        <v>126</v>
      </c>
      <c r="D707" s="44" t="s">
        <v>69</v>
      </c>
      <c r="E707" s="44" t="s">
        <v>43</v>
      </c>
      <c r="F707" s="44"/>
      <c r="G707" s="239"/>
      <c r="H707" s="239"/>
      <c r="I707" s="239"/>
      <c r="J707" s="239"/>
      <c r="K707" s="239"/>
      <c r="L707" s="214">
        <f>'ИСПОЛНЕНИЕ 1 КВ.'!H708+'ИСПОЛНЕНИЕ 2 КВ. '!I717</f>
        <v>0</v>
      </c>
      <c r="M707" s="239"/>
    </row>
    <row r="708" spans="1:13" s="28" customFormat="1" ht="12.75" hidden="1">
      <c r="A708" s="87" t="s">
        <v>44</v>
      </c>
      <c r="B708" s="27" t="s">
        <v>161</v>
      </c>
      <c r="C708" s="27" t="s">
        <v>126</v>
      </c>
      <c r="D708" s="27" t="s">
        <v>69</v>
      </c>
      <c r="E708" s="27" t="s">
        <v>45</v>
      </c>
      <c r="F708" s="17"/>
      <c r="G708" s="249"/>
      <c r="H708" s="249"/>
      <c r="I708" s="249"/>
      <c r="J708" s="249"/>
      <c r="K708" s="249"/>
      <c r="L708" s="214">
        <f>'ИСПОЛНЕНИЕ 1 КВ.'!H709+'ИСПОЛНЕНИЕ 2 КВ. '!I718</f>
        <v>0</v>
      </c>
      <c r="M708" s="249"/>
    </row>
    <row r="709" spans="1:13" s="21" customFormat="1" ht="12.75" hidden="1">
      <c r="A709" s="6" t="s">
        <v>46</v>
      </c>
      <c r="B709" s="20"/>
      <c r="C709" s="20"/>
      <c r="D709" s="20"/>
      <c r="E709" s="20"/>
      <c r="F709" s="20"/>
      <c r="G709" s="236"/>
      <c r="H709" s="236"/>
      <c r="I709" s="236"/>
      <c r="J709" s="236"/>
      <c r="K709" s="236"/>
      <c r="L709" s="214">
        <f>'ИСПОЛНЕНИЕ 1 КВ.'!H710+'ИСПОЛНЕНИЕ 2 КВ. '!I719</f>
        <v>0</v>
      </c>
      <c r="M709" s="236"/>
    </row>
    <row r="710" spans="1:13" s="45" customFormat="1" ht="12.75" hidden="1">
      <c r="A710" s="43" t="s">
        <v>47</v>
      </c>
      <c r="B710" s="44" t="s">
        <v>161</v>
      </c>
      <c r="C710" s="44" t="s">
        <v>126</v>
      </c>
      <c r="D710" s="44" t="s">
        <v>69</v>
      </c>
      <c r="E710" s="44" t="s">
        <v>48</v>
      </c>
      <c r="F710" s="44"/>
      <c r="G710" s="239"/>
      <c r="H710" s="239"/>
      <c r="I710" s="239"/>
      <c r="J710" s="239"/>
      <c r="K710" s="239"/>
      <c r="L710" s="214">
        <f>'ИСПОЛНЕНИЕ 1 КВ.'!H711+'ИСПОЛНЕНИЕ 2 КВ. '!I720</f>
        <v>0</v>
      </c>
      <c r="M710" s="239"/>
    </row>
    <row r="711" spans="1:13" s="21" customFormat="1" ht="29.25" customHeight="1" hidden="1">
      <c r="A711" s="12" t="s">
        <v>41</v>
      </c>
      <c r="B711" s="20"/>
      <c r="C711" s="20"/>
      <c r="D711" s="20"/>
      <c r="E711" s="20"/>
      <c r="F711" s="20"/>
      <c r="G711" s="236"/>
      <c r="H711" s="236"/>
      <c r="I711" s="236"/>
      <c r="J711" s="236"/>
      <c r="K711" s="236"/>
      <c r="L711" s="214">
        <f>'ИСПОЛНЕНИЕ 1 КВ.'!H712+'ИСПОЛНЕНИЕ 2 КВ. '!I721</f>
        <v>0</v>
      </c>
      <c r="M711" s="236"/>
    </row>
    <row r="712" spans="1:13" s="45" customFormat="1" ht="12.75" hidden="1">
      <c r="A712" s="43" t="s">
        <v>49</v>
      </c>
      <c r="B712" s="44" t="s">
        <v>161</v>
      </c>
      <c r="C712" s="44" t="s">
        <v>126</v>
      </c>
      <c r="D712" s="44" t="s">
        <v>69</v>
      </c>
      <c r="E712" s="44" t="s">
        <v>50</v>
      </c>
      <c r="F712" s="44"/>
      <c r="G712" s="239"/>
      <c r="H712" s="239"/>
      <c r="I712" s="239"/>
      <c r="J712" s="239"/>
      <c r="K712" s="239"/>
      <c r="L712" s="214">
        <f>'ИСПОЛНЕНИЕ 1 КВ.'!H713+'ИСПОЛНЕНИЕ 2 КВ. '!I722</f>
        <v>0</v>
      </c>
      <c r="M712" s="239"/>
    </row>
    <row r="713" spans="1:13" s="28" customFormat="1" ht="12.75" hidden="1">
      <c r="A713" s="87" t="s">
        <v>51</v>
      </c>
      <c r="B713" s="27" t="s">
        <v>161</v>
      </c>
      <c r="C713" s="27" t="s">
        <v>126</v>
      </c>
      <c r="D713" s="27" t="s">
        <v>69</v>
      </c>
      <c r="E713" s="27" t="s">
        <v>52</v>
      </c>
      <c r="F713" s="17"/>
      <c r="G713" s="249"/>
      <c r="H713" s="249"/>
      <c r="I713" s="249"/>
      <c r="J713" s="249"/>
      <c r="K713" s="249"/>
      <c r="L713" s="214">
        <f>'ИСПОЛНЕНИЕ 1 КВ.'!H714+'ИСПОЛНЕНИЕ 2 КВ. '!I723</f>
        <v>0</v>
      </c>
      <c r="M713" s="249"/>
    </row>
    <row r="714" spans="1:13" s="21" customFormat="1" ht="12.75" hidden="1">
      <c r="A714" s="7" t="s">
        <v>53</v>
      </c>
      <c r="B714" s="20"/>
      <c r="C714" s="20"/>
      <c r="D714" s="20"/>
      <c r="E714" s="20"/>
      <c r="F714" s="20" t="s">
        <v>223</v>
      </c>
      <c r="G714" s="236"/>
      <c r="H714" s="236"/>
      <c r="I714" s="236"/>
      <c r="J714" s="236"/>
      <c r="K714" s="236"/>
      <c r="L714" s="214">
        <f>'ИСПОЛНЕНИЕ 1 КВ.'!H715+'ИСПОЛНЕНИЕ 2 КВ. '!I724</f>
        <v>0</v>
      </c>
      <c r="M714" s="236"/>
    </row>
    <row r="715" spans="1:13" s="21" customFormat="1" ht="51" customHeight="1" hidden="1">
      <c r="A715" s="7" t="s">
        <v>54</v>
      </c>
      <c r="B715" s="20"/>
      <c r="C715" s="20"/>
      <c r="D715" s="20"/>
      <c r="E715" s="20"/>
      <c r="F715" s="20" t="s">
        <v>194</v>
      </c>
      <c r="G715" s="236"/>
      <c r="H715" s="236"/>
      <c r="I715" s="236"/>
      <c r="J715" s="236"/>
      <c r="K715" s="236"/>
      <c r="L715" s="214">
        <f>'ИСПОЛНЕНИЕ 1 КВ.'!H716+'ИСПОЛНЕНИЕ 2 КВ. '!I725</f>
        <v>0</v>
      </c>
      <c r="M715" s="236"/>
    </row>
    <row r="716" spans="1:13" s="21" customFormat="1" ht="52.5" customHeight="1" hidden="1">
      <c r="A716" s="7" t="s">
        <v>55</v>
      </c>
      <c r="B716" s="20"/>
      <c r="C716" s="20"/>
      <c r="D716" s="20"/>
      <c r="E716" s="20"/>
      <c r="F716" s="20" t="s">
        <v>193</v>
      </c>
      <c r="G716" s="236"/>
      <c r="H716" s="236"/>
      <c r="I716" s="236"/>
      <c r="J716" s="236"/>
      <c r="K716" s="236"/>
      <c r="L716" s="214">
        <f>'ИСПОЛНЕНИЕ 1 КВ.'!H717+'ИСПОЛНЕНИЕ 2 КВ. '!I726</f>
        <v>0</v>
      </c>
      <c r="M716" s="236"/>
    </row>
    <row r="717" spans="1:13" s="28" customFormat="1" ht="15.75" customHeight="1" hidden="1">
      <c r="A717" s="87" t="s">
        <v>56</v>
      </c>
      <c r="B717" s="27" t="s">
        <v>161</v>
      </c>
      <c r="C717" s="27" t="s">
        <v>126</v>
      </c>
      <c r="D717" s="27" t="s">
        <v>69</v>
      </c>
      <c r="E717" s="27" t="s">
        <v>57</v>
      </c>
      <c r="F717" s="17"/>
      <c r="G717" s="249"/>
      <c r="H717" s="249"/>
      <c r="I717" s="249"/>
      <c r="J717" s="249"/>
      <c r="K717" s="249"/>
      <c r="L717" s="214">
        <f>'ИСПОЛНЕНИЕ 1 КВ.'!H718+'ИСПОЛНЕНИЕ 2 КВ. '!I727</f>
        <v>0</v>
      </c>
      <c r="M717" s="249"/>
    </row>
    <row r="718" spans="1:13" s="21" customFormat="1" ht="25.5" hidden="1">
      <c r="A718" s="7" t="s">
        <v>58</v>
      </c>
      <c r="B718" s="20"/>
      <c r="C718" s="20"/>
      <c r="D718" s="20"/>
      <c r="E718" s="20"/>
      <c r="F718" s="20" t="s">
        <v>195</v>
      </c>
      <c r="G718" s="236"/>
      <c r="H718" s="236"/>
      <c r="I718" s="236"/>
      <c r="J718" s="236"/>
      <c r="K718" s="236"/>
      <c r="L718" s="214">
        <f>'ИСПОЛНЕНИЕ 1 КВ.'!H719+'ИСПОЛНЕНИЕ 2 КВ. '!I728</f>
        <v>0</v>
      </c>
      <c r="M718" s="236"/>
    </row>
    <row r="719" spans="1:13" s="21" customFormat="1" ht="12.75" hidden="1">
      <c r="A719" s="7" t="s">
        <v>59</v>
      </c>
      <c r="B719" s="20"/>
      <c r="C719" s="20"/>
      <c r="D719" s="20"/>
      <c r="E719" s="20"/>
      <c r="F719" s="20" t="s">
        <v>196</v>
      </c>
      <c r="G719" s="236"/>
      <c r="H719" s="236"/>
      <c r="I719" s="236"/>
      <c r="J719" s="236"/>
      <c r="K719" s="236"/>
      <c r="L719" s="214">
        <f>'ИСПОЛНЕНИЕ 1 КВ.'!H720+'ИСПОЛНЕНИЕ 2 КВ. '!I729</f>
        <v>0</v>
      </c>
      <c r="M719" s="236"/>
    </row>
    <row r="720" spans="1:13" s="21" customFormat="1" ht="12.75" hidden="1">
      <c r="A720" s="7" t="s">
        <v>60</v>
      </c>
      <c r="B720" s="20"/>
      <c r="C720" s="20"/>
      <c r="D720" s="20"/>
      <c r="E720" s="20"/>
      <c r="F720" s="20" t="s">
        <v>197</v>
      </c>
      <c r="G720" s="236"/>
      <c r="H720" s="236"/>
      <c r="I720" s="236"/>
      <c r="J720" s="236"/>
      <c r="K720" s="236"/>
      <c r="L720" s="214">
        <f>'ИСПОЛНЕНИЕ 1 КВ.'!H721+'ИСПОЛНЕНИЕ 2 КВ. '!I730</f>
        <v>0</v>
      </c>
      <c r="M720" s="236"/>
    </row>
    <row r="721" spans="1:13" s="21" customFormat="1" ht="38.25" customHeight="1" hidden="1">
      <c r="A721" s="7" t="s">
        <v>61</v>
      </c>
      <c r="B721" s="20"/>
      <c r="C721" s="20"/>
      <c r="D721" s="20"/>
      <c r="E721" s="20"/>
      <c r="F721" s="20" t="s">
        <v>198</v>
      </c>
      <c r="G721" s="236"/>
      <c r="H721" s="236"/>
      <c r="I721" s="236"/>
      <c r="J721" s="236"/>
      <c r="K721" s="236"/>
      <c r="L721" s="214">
        <f>'ИСПОЛНЕНИЕ 1 КВ.'!H722+'ИСПОЛНЕНИЕ 2 КВ. '!I731</f>
        <v>0</v>
      </c>
      <c r="M721" s="236"/>
    </row>
    <row r="722" spans="1:13" s="21" customFormat="1" ht="12.75" hidden="1">
      <c r="A722" s="26" t="s">
        <v>78</v>
      </c>
      <c r="B722" s="24" t="s">
        <v>161</v>
      </c>
      <c r="C722" s="24" t="s">
        <v>143</v>
      </c>
      <c r="D722" s="24" t="s">
        <v>69</v>
      </c>
      <c r="E722" s="24"/>
      <c r="F722" s="24"/>
      <c r="G722" s="252"/>
      <c r="H722" s="252"/>
      <c r="I722" s="236"/>
      <c r="J722" s="236"/>
      <c r="K722" s="236"/>
      <c r="L722" s="214">
        <f>'ИСПОЛНЕНИЕ 1 КВ.'!H723+'ИСПОЛНЕНИЕ 2 КВ. '!I732</f>
        <v>0</v>
      </c>
      <c r="M722" s="236"/>
    </row>
    <row r="723" spans="1:13" s="45" customFormat="1" ht="15.75" customHeight="1" hidden="1">
      <c r="A723" s="43" t="s">
        <v>4</v>
      </c>
      <c r="B723" s="44" t="s">
        <v>161</v>
      </c>
      <c r="C723" s="44" t="s">
        <v>143</v>
      </c>
      <c r="D723" s="44" t="s">
        <v>69</v>
      </c>
      <c r="E723" s="44" t="s">
        <v>5</v>
      </c>
      <c r="F723" s="44"/>
      <c r="G723" s="239"/>
      <c r="H723" s="239"/>
      <c r="I723" s="239"/>
      <c r="J723" s="239"/>
      <c r="K723" s="239"/>
      <c r="L723" s="214">
        <f>'ИСПОЛНЕНИЕ 1 КВ.'!H724+'ИСПОЛНЕНИЕ 2 КВ. '!I733</f>
        <v>0</v>
      </c>
      <c r="M723" s="239"/>
    </row>
    <row r="724" spans="1:13" s="28" customFormat="1" ht="12.75" hidden="1">
      <c r="A724" s="87" t="s">
        <v>6</v>
      </c>
      <c r="B724" s="27" t="s">
        <v>161</v>
      </c>
      <c r="C724" s="27" t="s">
        <v>143</v>
      </c>
      <c r="D724" s="27" t="s">
        <v>69</v>
      </c>
      <c r="E724" s="27" t="s">
        <v>7</v>
      </c>
      <c r="F724" s="27"/>
      <c r="G724" s="249"/>
      <c r="H724" s="249"/>
      <c r="I724" s="249"/>
      <c r="J724" s="249"/>
      <c r="K724" s="249"/>
      <c r="L724" s="214">
        <f>'ИСПОЛНЕНИЕ 1 КВ.'!H725+'ИСПОЛНЕНИЕ 2 КВ. '!I734</f>
        <v>0</v>
      </c>
      <c r="M724" s="249"/>
    </row>
    <row r="725" spans="1:13" s="28" customFormat="1" ht="12.75" hidden="1">
      <c r="A725" s="87" t="s">
        <v>8</v>
      </c>
      <c r="B725" s="27" t="s">
        <v>161</v>
      </c>
      <c r="C725" s="27" t="s">
        <v>143</v>
      </c>
      <c r="D725" s="27" t="s">
        <v>69</v>
      </c>
      <c r="E725" s="27" t="s">
        <v>9</v>
      </c>
      <c r="F725" s="27"/>
      <c r="G725" s="249"/>
      <c r="H725" s="249"/>
      <c r="I725" s="249"/>
      <c r="J725" s="249"/>
      <c r="K725" s="249"/>
      <c r="L725" s="214">
        <f>'ИСПОЛНЕНИЕ 1 КВ.'!H726+'ИСПОЛНЕНИЕ 2 КВ. '!I735</f>
        <v>0</v>
      </c>
      <c r="M725" s="249"/>
    </row>
    <row r="726" spans="1:13" s="21" customFormat="1" ht="25.5" hidden="1">
      <c r="A726" s="11" t="s">
        <v>10</v>
      </c>
      <c r="B726" s="4"/>
      <c r="C726" s="4"/>
      <c r="D726" s="4"/>
      <c r="E726" s="4"/>
      <c r="F726" s="4" t="s">
        <v>183</v>
      </c>
      <c r="G726" s="250"/>
      <c r="H726" s="250"/>
      <c r="I726" s="236"/>
      <c r="J726" s="236"/>
      <c r="K726" s="236"/>
      <c r="L726" s="214">
        <f>'ИСПОЛНЕНИЕ 1 КВ.'!H727+'ИСПОЛНЕНИЕ 2 КВ. '!I736</f>
        <v>0</v>
      </c>
      <c r="M726" s="236"/>
    </row>
    <row r="727" spans="1:13" s="21" customFormat="1" ht="18" customHeight="1" hidden="1">
      <c r="A727" s="12" t="s">
        <v>11</v>
      </c>
      <c r="B727" s="4"/>
      <c r="C727" s="4"/>
      <c r="D727" s="4"/>
      <c r="E727" s="4"/>
      <c r="F727" s="4" t="s">
        <v>200</v>
      </c>
      <c r="G727" s="250"/>
      <c r="H727" s="250"/>
      <c r="I727" s="236"/>
      <c r="J727" s="236"/>
      <c r="K727" s="236"/>
      <c r="L727" s="214">
        <f>'ИСПОЛНЕНИЕ 1 КВ.'!H728+'ИСПОЛНЕНИЕ 2 КВ. '!I737</f>
        <v>0</v>
      </c>
      <c r="M727" s="236"/>
    </row>
    <row r="728" spans="1:13" s="21" customFormat="1" ht="25.5" hidden="1">
      <c r="A728" s="6" t="s">
        <v>12</v>
      </c>
      <c r="B728" s="4"/>
      <c r="C728" s="4"/>
      <c r="D728" s="4"/>
      <c r="E728" s="4"/>
      <c r="F728" s="4" t="s">
        <v>184</v>
      </c>
      <c r="G728" s="250"/>
      <c r="H728" s="250"/>
      <c r="I728" s="236"/>
      <c r="J728" s="236"/>
      <c r="K728" s="236"/>
      <c r="L728" s="214">
        <f>'ИСПОЛНЕНИЕ 1 КВ.'!H729+'ИСПОЛНЕНИЕ 2 КВ. '!I738</f>
        <v>0</v>
      </c>
      <c r="M728" s="236"/>
    </row>
    <row r="729" spans="1:13" s="28" customFormat="1" ht="12.75" hidden="1">
      <c r="A729" s="87" t="s">
        <v>13</v>
      </c>
      <c r="B729" s="27" t="s">
        <v>161</v>
      </c>
      <c r="C729" s="27" t="s">
        <v>143</v>
      </c>
      <c r="D729" s="27" t="s">
        <v>69</v>
      </c>
      <c r="E729" s="27" t="s">
        <v>14</v>
      </c>
      <c r="F729" s="27"/>
      <c r="G729" s="249"/>
      <c r="H729" s="249"/>
      <c r="I729" s="249"/>
      <c r="J729" s="249"/>
      <c r="K729" s="249"/>
      <c r="L729" s="214">
        <f>'ИСПОЛНЕНИЕ 1 КВ.'!H730+'ИСПОЛНЕНИЕ 2 КВ. '!I739</f>
        <v>0</v>
      </c>
      <c r="M729" s="249"/>
    </row>
    <row r="730" spans="1:13" s="45" customFormat="1" ht="12.75" hidden="1">
      <c r="A730" s="43" t="s">
        <v>15</v>
      </c>
      <c r="B730" s="44" t="s">
        <v>161</v>
      </c>
      <c r="C730" s="44" t="s">
        <v>143</v>
      </c>
      <c r="D730" s="44" t="s">
        <v>69</v>
      </c>
      <c r="E730" s="44" t="s">
        <v>16</v>
      </c>
      <c r="F730" s="44"/>
      <c r="G730" s="239"/>
      <c r="H730" s="239"/>
      <c r="I730" s="239"/>
      <c r="J730" s="239"/>
      <c r="K730" s="239"/>
      <c r="L730" s="214">
        <f>'ИСПОЛНЕНИЕ 1 КВ.'!H731+'ИСПОЛНЕНИЕ 2 КВ. '!I740</f>
        <v>0</v>
      </c>
      <c r="M730" s="239"/>
    </row>
    <row r="731" spans="1:13" s="28" customFormat="1" ht="12.75" hidden="1">
      <c r="A731" s="87" t="s">
        <v>17</v>
      </c>
      <c r="B731" s="27" t="s">
        <v>161</v>
      </c>
      <c r="C731" s="27" t="s">
        <v>143</v>
      </c>
      <c r="D731" s="27" t="s">
        <v>69</v>
      </c>
      <c r="E731" s="27" t="s">
        <v>18</v>
      </c>
      <c r="F731" s="27"/>
      <c r="G731" s="249"/>
      <c r="H731" s="249"/>
      <c r="I731" s="249"/>
      <c r="J731" s="249"/>
      <c r="K731" s="249"/>
      <c r="L731" s="214">
        <f>'ИСПОЛНЕНИЕ 1 КВ.'!H732+'ИСПОЛНЕНИЕ 2 КВ. '!I741</f>
        <v>0</v>
      </c>
      <c r="M731" s="249"/>
    </row>
    <row r="732" spans="1:13" s="28" customFormat="1" ht="12.75" hidden="1">
      <c r="A732" s="87" t="s">
        <v>21</v>
      </c>
      <c r="B732" s="27" t="s">
        <v>161</v>
      </c>
      <c r="C732" s="27" t="s">
        <v>143</v>
      </c>
      <c r="D732" s="27" t="s">
        <v>69</v>
      </c>
      <c r="E732" s="27" t="s">
        <v>19</v>
      </c>
      <c r="F732" s="27"/>
      <c r="G732" s="249"/>
      <c r="H732" s="249"/>
      <c r="I732" s="249"/>
      <c r="J732" s="249"/>
      <c r="K732" s="249"/>
      <c r="L732" s="214">
        <f>'ИСПОЛНЕНИЕ 1 КВ.'!H733+'ИСПОЛНЕНИЕ 2 КВ. '!I742</f>
        <v>0</v>
      </c>
      <c r="M732" s="249"/>
    </row>
    <row r="733" spans="1:13" s="21" customFormat="1" ht="25.5" hidden="1">
      <c r="A733" s="11" t="s">
        <v>20</v>
      </c>
      <c r="B733" s="4"/>
      <c r="C733" s="4"/>
      <c r="D733" s="4"/>
      <c r="E733" s="4"/>
      <c r="F733" s="4" t="s">
        <v>183</v>
      </c>
      <c r="G733" s="250"/>
      <c r="H733" s="250"/>
      <c r="I733" s="236"/>
      <c r="J733" s="236"/>
      <c r="K733" s="236"/>
      <c r="L733" s="214">
        <f>'ИСПОЛНЕНИЕ 1 КВ.'!H734+'ИСПОЛНЕНИЕ 2 КВ. '!I743</f>
        <v>0</v>
      </c>
      <c r="M733" s="236"/>
    </row>
    <row r="734" spans="1:13" s="21" customFormat="1" ht="38.25" hidden="1">
      <c r="A734" s="8" t="s">
        <v>22</v>
      </c>
      <c r="B734" s="4"/>
      <c r="C734" s="4"/>
      <c r="D734" s="4"/>
      <c r="E734" s="4"/>
      <c r="F734" s="4" t="s">
        <v>185</v>
      </c>
      <c r="G734" s="250"/>
      <c r="H734" s="250"/>
      <c r="I734" s="236"/>
      <c r="J734" s="236"/>
      <c r="K734" s="236"/>
      <c r="L734" s="214">
        <f>'ИСПОЛНЕНИЕ 1 КВ.'!H735+'ИСПОЛНЕНИЕ 2 КВ. '!I744</f>
        <v>0</v>
      </c>
      <c r="M734" s="236"/>
    </row>
    <row r="735" spans="1:13" s="21" customFormat="1" ht="12.75" hidden="1">
      <c r="A735" s="16" t="s">
        <v>23</v>
      </c>
      <c r="B735" s="27" t="s">
        <v>161</v>
      </c>
      <c r="C735" s="17" t="s">
        <v>143</v>
      </c>
      <c r="D735" s="17" t="s">
        <v>69</v>
      </c>
      <c r="E735" s="17" t="s">
        <v>24</v>
      </c>
      <c r="F735" s="17"/>
      <c r="G735" s="240"/>
      <c r="H735" s="240"/>
      <c r="I735" s="236"/>
      <c r="J735" s="236"/>
      <c r="K735" s="236"/>
      <c r="L735" s="214">
        <f>'ИСПОЛНЕНИЕ 1 КВ.'!H736+'ИСПОЛНЕНИЕ 2 КВ. '!I745</f>
        <v>0</v>
      </c>
      <c r="M735" s="236"/>
    </row>
    <row r="736" spans="1:13" s="21" customFormat="1" ht="25.5" hidden="1">
      <c r="A736" s="7" t="s">
        <v>25</v>
      </c>
      <c r="B736" s="4"/>
      <c r="C736" s="4"/>
      <c r="D736" s="4"/>
      <c r="E736" s="4"/>
      <c r="F736" s="4" t="s">
        <v>186</v>
      </c>
      <c r="G736" s="250"/>
      <c r="H736" s="250"/>
      <c r="I736" s="236"/>
      <c r="J736" s="236"/>
      <c r="K736" s="236"/>
      <c r="L736" s="214">
        <f>'ИСПОЛНЕНИЕ 1 КВ.'!H737+'ИСПОЛНЕНИЕ 2 КВ. '!I746</f>
        <v>0</v>
      </c>
      <c r="M736" s="236"/>
    </row>
    <row r="737" spans="1:13" s="21" customFormat="1" ht="24.75" customHeight="1" hidden="1">
      <c r="A737" s="7" t="s">
        <v>26</v>
      </c>
      <c r="B737" s="4"/>
      <c r="C737" s="4"/>
      <c r="D737" s="4"/>
      <c r="E737" s="4"/>
      <c r="F737" s="4" t="s">
        <v>187</v>
      </c>
      <c r="G737" s="250"/>
      <c r="H737" s="250"/>
      <c r="I737" s="236"/>
      <c r="J737" s="236"/>
      <c r="K737" s="236"/>
      <c r="L737" s="214">
        <f>'ИСПОЛНЕНИЕ 1 КВ.'!H738+'ИСПОЛНЕНИЕ 2 КВ. '!I747</f>
        <v>0</v>
      </c>
      <c r="M737" s="236"/>
    </row>
    <row r="738" spans="1:13" s="21" customFormat="1" ht="12.75" hidden="1">
      <c r="A738" s="7" t="s">
        <v>27</v>
      </c>
      <c r="B738" s="4"/>
      <c r="C738" s="4"/>
      <c r="D738" s="4"/>
      <c r="E738" s="4"/>
      <c r="F738" s="4" t="s">
        <v>188</v>
      </c>
      <c r="G738" s="250"/>
      <c r="H738" s="250"/>
      <c r="I738" s="236"/>
      <c r="J738" s="236"/>
      <c r="K738" s="236"/>
      <c r="L738" s="214">
        <f>'ИСПОЛНЕНИЕ 1 КВ.'!H739+'ИСПОЛНЕНИЕ 2 КВ. '!I748</f>
        <v>0</v>
      </c>
      <c r="M738" s="236"/>
    </row>
    <row r="739" spans="1:13" s="28" customFormat="1" ht="13.5" customHeight="1" hidden="1">
      <c r="A739" s="87" t="s">
        <v>28</v>
      </c>
      <c r="B739" s="27" t="s">
        <v>161</v>
      </c>
      <c r="C739" s="27" t="s">
        <v>143</v>
      </c>
      <c r="D739" s="27" t="s">
        <v>69</v>
      </c>
      <c r="E739" s="27" t="s">
        <v>29</v>
      </c>
      <c r="F739" s="27"/>
      <c r="G739" s="249"/>
      <c r="H739" s="249"/>
      <c r="I739" s="249"/>
      <c r="J739" s="249"/>
      <c r="K739" s="249"/>
      <c r="L739" s="214">
        <f>'ИСПОЛНЕНИЕ 1 КВ.'!H740+'ИСПОЛНЕНИЕ 2 КВ. '!I749</f>
        <v>0</v>
      </c>
      <c r="M739" s="249"/>
    </row>
    <row r="740" spans="1:13" s="28" customFormat="1" ht="12.75" hidden="1">
      <c r="A740" s="87" t="s">
        <v>30</v>
      </c>
      <c r="B740" s="27" t="s">
        <v>161</v>
      </c>
      <c r="C740" s="27" t="s">
        <v>143</v>
      </c>
      <c r="D740" s="27" t="s">
        <v>69</v>
      </c>
      <c r="E740" s="27" t="s">
        <v>31</v>
      </c>
      <c r="F740" s="27"/>
      <c r="G740" s="249"/>
      <c r="H740" s="249"/>
      <c r="I740" s="249"/>
      <c r="J740" s="249"/>
      <c r="K740" s="249"/>
      <c r="L740" s="214">
        <f>'ИСПОЛНЕНИЕ 1 КВ.'!H741+'ИСПОЛНЕНИЕ 2 КВ. '!I750</f>
        <v>0</v>
      </c>
      <c r="M740" s="249"/>
    </row>
    <row r="741" spans="1:13" s="21" customFormat="1" ht="12.75" hidden="1">
      <c r="A741" s="7" t="s">
        <v>32</v>
      </c>
      <c r="B741" s="17"/>
      <c r="C741" s="17"/>
      <c r="D741" s="17"/>
      <c r="E741" s="17"/>
      <c r="F741" s="17" t="s">
        <v>189</v>
      </c>
      <c r="G741" s="254"/>
      <c r="H741" s="240"/>
      <c r="I741" s="236"/>
      <c r="J741" s="236"/>
      <c r="K741" s="236"/>
      <c r="L741" s="214">
        <f>'ИСПОЛНЕНИЕ 1 КВ.'!H742+'ИСПОЛНЕНИЕ 2 КВ. '!I751</f>
        <v>0</v>
      </c>
      <c r="M741" s="236"/>
    </row>
    <row r="742" spans="1:13" s="21" customFormat="1" ht="12.75" hidden="1">
      <c r="A742" s="7" t="s">
        <v>33</v>
      </c>
      <c r="B742" s="17"/>
      <c r="C742" s="17"/>
      <c r="D742" s="17"/>
      <c r="E742" s="17"/>
      <c r="F742" s="17" t="s">
        <v>191</v>
      </c>
      <c r="G742" s="254"/>
      <c r="H742" s="240"/>
      <c r="I742" s="236"/>
      <c r="J742" s="236"/>
      <c r="K742" s="236"/>
      <c r="L742" s="214">
        <f>'ИСПОЛНЕНИЕ 1 КВ.'!H743+'ИСПОЛНЕНИЕ 2 КВ. '!I752</f>
        <v>0</v>
      </c>
      <c r="M742" s="236"/>
    </row>
    <row r="743" spans="1:13" s="21" customFormat="1" ht="25.5" hidden="1">
      <c r="A743" s="7" t="s">
        <v>34</v>
      </c>
      <c r="B743" s="17"/>
      <c r="C743" s="17"/>
      <c r="D743" s="17"/>
      <c r="E743" s="17"/>
      <c r="F743" s="17" t="s">
        <v>221</v>
      </c>
      <c r="G743" s="254"/>
      <c r="H743" s="240"/>
      <c r="I743" s="236"/>
      <c r="J743" s="236"/>
      <c r="K743" s="236"/>
      <c r="L743" s="214">
        <f>'ИСПОЛНЕНИЕ 1 КВ.'!H744+'ИСПОЛНЕНИЕ 2 КВ. '!I753</f>
        <v>0</v>
      </c>
      <c r="M743" s="236"/>
    </row>
    <row r="744" spans="1:13" s="21" customFormat="1" ht="25.5" hidden="1">
      <c r="A744" s="7" t="s">
        <v>35</v>
      </c>
      <c r="B744" s="17"/>
      <c r="C744" s="17"/>
      <c r="D744" s="17"/>
      <c r="E744" s="17"/>
      <c r="F744" s="17" t="s">
        <v>190</v>
      </c>
      <c r="G744" s="254"/>
      <c r="H744" s="240"/>
      <c r="I744" s="236"/>
      <c r="J744" s="236"/>
      <c r="K744" s="236"/>
      <c r="L744" s="214">
        <f>'ИСПОЛНЕНИЕ 1 КВ.'!H745+'ИСПОЛНЕНИЕ 2 КВ. '!I754</f>
        <v>0</v>
      </c>
      <c r="M744" s="236"/>
    </row>
    <row r="745" spans="1:13" s="21" customFormat="1" ht="51" hidden="1">
      <c r="A745" s="7" t="s">
        <v>36</v>
      </c>
      <c r="B745" s="17"/>
      <c r="C745" s="17"/>
      <c r="D745" s="17"/>
      <c r="E745" s="17"/>
      <c r="F745" s="17" t="s">
        <v>190</v>
      </c>
      <c r="G745" s="254"/>
      <c r="H745" s="240"/>
      <c r="I745" s="236"/>
      <c r="J745" s="236"/>
      <c r="K745" s="236"/>
      <c r="L745" s="214">
        <f>'ИСПОЛНЕНИЕ 1 КВ.'!H746+'ИСПОЛНЕНИЕ 2 КВ. '!I755</f>
        <v>0</v>
      </c>
      <c r="M745" s="236"/>
    </row>
    <row r="746" spans="1:13" s="28" customFormat="1" ht="12.75" hidden="1">
      <c r="A746" s="87" t="s">
        <v>37</v>
      </c>
      <c r="B746" s="27" t="s">
        <v>161</v>
      </c>
      <c r="C746" s="27" t="s">
        <v>143</v>
      </c>
      <c r="D746" s="27" t="s">
        <v>69</v>
      </c>
      <c r="E746" s="27" t="s">
        <v>38</v>
      </c>
      <c r="F746" s="17"/>
      <c r="G746" s="249"/>
      <c r="H746" s="249"/>
      <c r="I746" s="249"/>
      <c r="J746" s="249"/>
      <c r="K746" s="249"/>
      <c r="L746" s="214">
        <f>'ИСПОЛНЕНИЕ 1 КВ.'!H747+'ИСПОЛНЕНИЕ 2 КВ. '!I756</f>
        <v>0</v>
      </c>
      <c r="M746" s="249"/>
    </row>
    <row r="747" spans="1:13" s="21" customFormat="1" ht="38.25" hidden="1">
      <c r="A747" s="11" t="s">
        <v>39</v>
      </c>
      <c r="B747" s="20"/>
      <c r="C747" s="20"/>
      <c r="D747" s="20"/>
      <c r="E747" s="20"/>
      <c r="F747" s="20" t="s">
        <v>183</v>
      </c>
      <c r="G747" s="236"/>
      <c r="H747" s="236"/>
      <c r="I747" s="236"/>
      <c r="J747" s="236"/>
      <c r="K747" s="236"/>
      <c r="L747" s="214">
        <f>'ИСПОЛНЕНИЕ 1 КВ.'!H748+'ИСПОЛНЕНИЕ 2 КВ. '!I757</f>
        <v>0</v>
      </c>
      <c r="M747" s="236"/>
    </row>
    <row r="748" spans="1:13" s="21" customFormat="1" ht="38.25" hidden="1">
      <c r="A748" s="19" t="s">
        <v>40</v>
      </c>
      <c r="B748" s="20"/>
      <c r="C748" s="20"/>
      <c r="D748" s="20"/>
      <c r="E748" s="20"/>
      <c r="F748" s="20" t="s">
        <v>222</v>
      </c>
      <c r="G748" s="236"/>
      <c r="H748" s="236"/>
      <c r="I748" s="236"/>
      <c r="J748" s="236"/>
      <c r="K748" s="236"/>
      <c r="L748" s="214">
        <f>'ИСПОЛНЕНИЕ 1 КВ.'!H749+'ИСПОЛНЕНИЕ 2 КВ. '!I758</f>
        <v>0</v>
      </c>
      <c r="M748" s="236"/>
    </row>
    <row r="749" spans="1:13" s="21" customFormat="1" ht="27.75" customHeight="1" hidden="1">
      <c r="A749" s="12" t="s">
        <v>41</v>
      </c>
      <c r="B749" s="20"/>
      <c r="C749" s="20"/>
      <c r="D749" s="20"/>
      <c r="E749" s="20"/>
      <c r="F749" s="20" t="s">
        <v>192</v>
      </c>
      <c r="G749" s="236"/>
      <c r="H749" s="236"/>
      <c r="I749" s="236"/>
      <c r="J749" s="236"/>
      <c r="K749" s="236"/>
      <c r="L749" s="214">
        <f>'ИСПОЛНЕНИЕ 1 КВ.'!H750+'ИСПОЛНЕНИЕ 2 КВ. '!I759</f>
        <v>0</v>
      </c>
      <c r="M749" s="236"/>
    </row>
    <row r="750" spans="1:13" s="45" customFormat="1" ht="12.75" hidden="1">
      <c r="A750" s="43" t="s">
        <v>42</v>
      </c>
      <c r="B750" s="44" t="s">
        <v>161</v>
      </c>
      <c r="C750" s="44" t="s">
        <v>143</v>
      </c>
      <c r="D750" s="44" t="s">
        <v>69</v>
      </c>
      <c r="E750" s="44" t="s">
        <v>43</v>
      </c>
      <c r="F750" s="44"/>
      <c r="G750" s="239"/>
      <c r="H750" s="239"/>
      <c r="I750" s="239"/>
      <c r="J750" s="239"/>
      <c r="K750" s="239"/>
      <c r="L750" s="214">
        <f>'ИСПОЛНЕНИЕ 1 КВ.'!H751+'ИСПОЛНЕНИЕ 2 КВ. '!I760</f>
        <v>0</v>
      </c>
      <c r="M750" s="239"/>
    </row>
    <row r="751" spans="1:13" s="28" customFormat="1" ht="12.75" hidden="1">
      <c r="A751" s="87" t="s">
        <v>44</v>
      </c>
      <c r="B751" s="27" t="s">
        <v>161</v>
      </c>
      <c r="C751" s="27" t="s">
        <v>143</v>
      </c>
      <c r="D751" s="27" t="s">
        <v>69</v>
      </c>
      <c r="E751" s="27" t="s">
        <v>45</v>
      </c>
      <c r="F751" s="17"/>
      <c r="G751" s="249"/>
      <c r="H751" s="249"/>
      <c r="I751" s="249"/>
      <c r="J751" s="249"/>
      <c r="K751" s="249"/>
      <c r="L751" s="214">
        <f>'ИСПОЛНЕНИЕ 1 КВ.'!H752+'ИСПОЛНЕНИЕ 2 КВ. '!I761</f>
        <v>0</v>
      </c>
      <c r="M751" s="249"/>
    </row>
    <row r="752" spans="1:13" s="21" customFormat="1" ht="12.75" hidden="1">
      <c r="A752" s="6" t="s">
        <v>46</v>
      </c>
      <c r="B752" s="20"/>
      <c r="C752" s="20"/>
      <c r="D752" s="20"/>
      <c r="E752" s="20"/>
      <c r="F752" s="20"/>
      <c r="G752" s="236"/>
      <c r="H752" s="236"/>
      <c r="I752" s="236"/>
      <c r="J752" s="236"/>
      <c r="K752" s="236"/>
      <c r="L752" s="214">
        <f>'ИСПОЛНЕНИЕ 1 КВ.'!H753+'ИСПОЛНЕНИЕ 2 КВ. '!I762</f>
        <v>0</v>
      </c>
      <c r="M752" s="236"/>
    </row>
    <row r="753" spans="1:13" s="45" customFormat="1" ht="12.75" hidden="1">
      <c r="A753" s="43" t="s">
        <v>47</v>
      </c>
      <c r="B753" s="44" t="s">
        <v>161</v>
      </c>
      <c r="C753" s="44" t="s">
        <v>143</v>
      </c>
      <c r="D753" s="44" t="s">
        <v>69</v>
      </c>
      <c r="E753" s="44" t="s">
        <v>48</v>
      </c>
      <c r="F753" s="44"/>
      <c r="G753" s="239"/>
      <c r="H753" s="239"/>
      <c r="I753" s="239"/>
      <c r="J753" s="239"/>
      <c r="K753" s="239"/>
      <c r="L753" s="214">
        <f>'ИСПОЛНЕНИЕ 1 КВ.'!H754+'ИСПОЛНЕНИЕ 2 КВ. '!I763</f>
        <v>0</v>
      </c>
      <c r="M753" s="239"/>
    </row>
    <row r="754" spans="1:13" s="21" customFormat="1" ht="27" customHeight="1" hidden="1">
      <c r="A754" s="12" t="s">
        <v>41</v>
      </c>
      <c r="B754" s="20"/>
      <c r="C754" s="20"/>
      <c r="D754" s="20"/>
      <c r="E754" s="20"/>
      <c r="F754" s="20"/>
      <c r="G754" s="236"/>
      <c r="H754" s="236"/>
      <c r="I754" s="236"/>
      <c r="J754" s="236"/>
      <c r="K754" s="236"/>
      <c r="L754" s="214">
        <f>'ИСПОЛНЕНИЕ 1 КВ.'!H755+'ИСПОЛНЕНИЕ 2 КВ. '!I764</f>
        <v>0</v>
      </c>
      <c r="M754" s="236"/>
    </row>
    <row r="755" spans="1:13" s="45" customFormat="1" ht="12.75" hidden="1">
      <c r="A755" s="43" t="s">
        <v>49</v>
      </c>
      <c r="B755" s="44" t="s">
        <v>161</v>
      </c>
      <c r="C755" s="44" t="s">
        <v>143</v>
      </c>
      <c r="D755" s="44" t="s">
        <v>69</v>
      </c>
      <c r="E755" s="44" t="s">
        <v>50</v>
      </c>
      <c r="F755" s="44"/>
      <c r="G755" s="239"/>
      <c r="H755" s="239"/>
      <c r="I755" s="239"/>
      <c r="J755" s="239"/>
      <c r="K755" s="239"/>
      <c r="L755" s="214">
        <f>'ИСПОЛНЕНИЕ 1 КВ.'!H756+'ИСПОЛНЕНИЕ 2 КВ. '!I765</f>
        <v>0</v>
      </c>
      <c r="M755" s="239"/>
    </row>
    <row r="756" spans="1:13" s="28" customFormat="1" ht="12.75" hidden="1">
      <c r="A756" s="87" t="s">
        <v>51</v>
      </c>
      <c r="B756" s="27" t="s">
        <v>161</v>
      </c>
      <c r="C756" s="27" t="s">
        <v>143</v>
      </c>
      <c r="D756" s="27" t="s">
        <v>69</v>
      </c>
      <c r="E756" s="27" t="s">
        <v>52</v>
      </c>
      <c r="F756" s="17"/>
      <c r="G756" s="249"/>
      <c r="H756" s="249"/>
      <c r="I756" s="249"/>
      <c r="J756" s="249"/>
      <c r="K756" s="249"/>
      <c r="L756" s="214">
        <f>'ИСПОЛНЕНИЕ 1 КВ.'!H757+'ИСПОЛНЕНИЕ 2 КВ. '!I766</f>
        <v>0</v>
      </c>
      <c r="M756" s="249"/>
    </row>
    <row r="757" spans="1:13" s="21" customFormat="1" ht="12.75" hidden="1">
      <c r="A757" s="7" t="s">
        <v>53</v>
      </c>
      <c r="B757" s="20"/>
      <c r="C757" s="20"/>
      <c r="D757" s="20"/>
      <c r="E757" s="20"/>
      <c r="F757" s="20" t="s">
        <v>223</v>
      </c>
      <c r="G757" s="236"/>
      <c r="H757" s="236"/>
      <c r="I757" s="236"/>
      <c r="J757" s="236"/>
      <c r="K757" s="236"/>
      <c r="L757" s="214">
        <f>'ИСПОЛНЕНИЕ 1 КВ.'!H758+'ИСПОЛНЕНИЕ 2 КВ. '!I767</f>
        <v>0</v>
      </c>
      <c r="M757" s="236"/>
    </row>
    <row r="758" spans="1:13" s="21" customFormat="1" ht="51" hidden="1">
      <c r="A758" s="7" t="s">
        <v>54</v>
      </c>
      <c r="B758" s="20"/>
      <c r="C758" s="20"/>
      <c r="D758" s="20"/>
      <c r="E758" s="20"/>
      <c r="F758" s="20" t="s">
        <v>194</v>
      </c>
      <c r="G758" s="236"/>
      <c r="H758" s="236"/>
      <c r="I758" s="236"/>
      <c r="J758" s="236"/>
      <c r="K758" s="236"/>
      <c r="L758" s="214">
        <f>'ИСПОЛНЕНИЕ 1 КВ.'!H759+'ИСПОЛНЕНИЕ 2 КВ. '!I768</f>
        <v>0</v>
      </c>
      <c r="M758" s="236"/>
    </row>
    <row r="759" spans="1:13" s="21" customFormat="1" ht="51" customHeight="1" hidden="1">
      <c r="A759" s="7" t="s">
        <v>55</v>
      </c>
      <c r="B759" s="20"/>
      <c r="C759" s="20"/>
      <c r="D759" s="20"/>
      <c r="E759" s="20"/>
      <c r="F759" s="20" t="s">
        <v>193</v>
      </c>
      <c r="G759" s="236"/>
      <c r="H759" s="236"/>
      <c r="I759" s="236"/>
      <c r="J759" s="236"/>
      <c r="K759" s="236"/>
      <c r="L759" s="214">
        <f>'ИСПОЛНЕНИЕ 1 КВ.'!H760+'ИСПОЛНЕНИЕ 2 КВ. '!I769</f>
        <v>0</v>
      </c>
      <c r="M759" s="236"/>
    </row>
    <row r="760" spans="1:13" s="28" customFormat="1" ht="12.75" customHeight="1" hidden="1">
      <c r="A760" s="87" t="s">
        <v>56</v>
      </c>
      <c r="B760" s="27" t="s">
        <v>161</v>
      </c>
      <c r="C760" s="27" t="s">
        <v>143</v>
      </c>
      <c r="D760" s="27" t="s">
        <v>69</v>
      </c>
      <c r="E760" s="27" t="s">
        <v>57</v>
      </c>
      <c r="F760" s="17"/>
      <c r="G760" s="249"/>
      <c r="H760" s="249"/>
      <c r="I760" s="249"/>
      <c r="J760" s="249"/>
      <c r="K760" s="249"/>
      <c r="L760" s="214">
        <f>'ИСПОЛНЕНИЕ 1 КВ.'!H761+'ИСПОЛНЕНИЕ 2 КВ. '!I770</f>
        <v>0</v>
      </c>
      <c r="M760" s="249"/>
    </row>
    <row r="761" spans="1:13" s="21" customFormat="1" ht="25.5" hidden="1">
      <c r="A761" s="7" t="s">
        <v>58</v>
      </c>
      <c r="B761" s="20"/>
      <c r="C761" s="20"/>
      <c r="D761" s="20"/>
      <c r="E761" s="20"/>
      <c r="F761" s="20" t="s">
        <v>195</v>
      </c>
      <c r="G761" s="236"/>
      <c r="H761" s="236"/>
      <c r="I761" s="236"/>
      <c r="J761" s="236"/>
      <c r="K761" s="236"/>
      <c r="L761" s="214">
        <f>'ИСПОЛНЕНИЕ 1 КВ.'!H762+'ИСПОЛНЕНИЕ 2 КВ. '!I771</f>
        <v>0</v>
      </c>
      <c r="M761" s="236"/>
    </row>
    <row r="762" spans="1:13" s="21" customFormat="1" ht="12.75" hidden="1">
      <c r="A762" s="7" t="s">
        <v>59</v>
      </c>
      <c r="B762" s="20"/>
      <c r="C762" s="20"/>
      <c r="D762" s="20"/>
      <c r="E762" s="20"/>
      <c r="F762" s="20" t="s">
        <v>196</v>
      </c>
      <c r="G762" s="236"/>
      <c r="H762" s="236"/>
      <c r="I762" s="236"/>
      <c r="J762" s="236"/>
      <c r="K762" s="236"/>
      <c r="L762" s="214">
        <f>'ИСПОЛНЕНИЕ 1 КВ.'!H763+'ИСПОЛНЕНИЕ 2 КВ. '!I772</f>
        <v>0</v>
      </c>
      <c r="M762" s="236"/>
    </row>
    <row r="763" spans="1:13" s="21" customFormat="1" ht="12.75" customHeight="1" hidden="1">
      <c r="A763" s="7" t="s">
        <v>60</v>
      </c>
      <c r="B763" s="20"/>
      <c r="C763" s="20"/>
      <c r="D763" s="20"/>
      <c r="E763" s="20"/>
      <c r="F763" s="20" t="s">
        <v>197</v>
      </c>
      <c r="G763" s="236"/>
      <c r="H763" s="236"/>
      <c r="I763" s="236"/>
      <c r="J763" s="236"/>
      <c r="K763" s="236"/>
      <c r="L763" s="214">
        <f>'ИСПОЛНЕНИЕ 1 КВ.'!H764+'ИСПОЛНЕНИЕ 2 КВ. '!I773</f>
        <v>0</v>
      </c>
      <c r="M763" s="236"/>
    </row>
    <row r="764" spans="1:13" s="21" customFormat="1" ht="14.25" customHeight="1" hidden="1">
      <c r="A764" s="7" t="s">
        <v>61</v>
      </c>
      <c r="B764" s="20"/>
      <c r="C764" s="20"/>
      <c r="D764" s="20"/>
      <c r="E764" s="20"/>
      <c r="F764" s="20" t="s">
        <v>198</v>
      </c>
      <c r="G764" s="236"/>
      <c r="H764" s="236"/>
      <c r="I764" s="236"/>
      <c r="J764" s="236"/>
      <c r="K764" s="236"/>
      <c r="L764" s="214">
        <f>'ИСПОЛНЕНИЕ 1 КВ.'!H765+'ИСПОЛНЕНИЕ 2 КВ. '!I774</f>
        <v>0</v>
      </c>
      <c r="M764" s="236"/>
    </row>
    <row r="765" spans="1:13" s="45" customFormat="1" ht="12.75">
      <c r="A765" s="166" t="s">
        <v>272</v>
      </c>
      <c r="B765" s="70" t="s">
        <v>161</v>
      </c>
      <c r="C765" s="70" t="s">
        <v>127</v>
      </c>
      <c r="D765" s="70" t="s">
        <v>2</v>
      </c>
      <c r="E765" s="70"/>
      <c r="F765" s="70"/>
      <c r="G765" s="255">
        <f aca="true" t="shared" si="67" ref="G765:G773">H765+I765+J765+K765</f>
        <v>1690000</v>
      </c>
      <c r="H765" s="255">
        <f aca="true" t="shared" si="68" ref="H765:M766">H766</f>
        <v>367000</v>
      </c>
      <c r="I765" s="255">
        <f t="shared" si="68"/>
        <v>515500</v>
      </c>
      <c r="J765" s="255">
        <f t="shared" si="68"/>
        <v>540000</v>
      </c>
      <c r="K765" s="255">
        <f t="shared" si="68"/>
        <v>267500</v>
      </c>
      <c r="L765" s="255">
        <f t="shared" si="68"/>
        <v>2326691.62</v>
      </c>
      <c r="M765" s="255">
        <f t="shared" si="68"/>
        <v>-636691.6200000001</v>
      </c>
    </row>
    <row r="766" spans="1:13" s="28" customFormat="1" ht="12.75">
      <c r="A766" s="87" t="s">
        <v>37</v>
      </c>
      <c r="B766" s="27" t="s">
        <v>161</v>
      </c>
      <c r="C766" s="27" t="s">
        <v>127</v>
      </c>
      <c r="D766" s="27" t="s">
        <v>79</v>
      </c>
      <c r="E766" s="27" t="s">
        <v>38</v>
      </c>
      <c r="F766" s="50"/>
      <c r="G766" s="247">
        <f t="shared" si="67"/>
        <v>1690000</v>
      </c>
      <c r="H766" s="247">
        <f t="shared" si="68"/>
        <v>367000</v>
      </c>
      <c r="I766" s="247">
        <f t="shared" si="68"/>
        <v>515500</v>
      </c>
      <c r="J766" s="247">
        <f t="shared" si="68"/>
        <v>540000</v>
      </c>
      <c r="K766" s="247">
        <f t="shared" si="68"/>
        <v>267500</v>
      </c>
      <c r="L766" s="247">
        <f t="shared" si="68"/>
        <v>2326691.62</v>
      </c>
      <c r="M766" s="247">
        <f t="shared" si="68"/>
        <v>-636691.6200000001</v>
      </c>
    </row>
    <row r="767" spans="1:13" s="21" customFormat="1" ht="25.5" customHeight="1">
      <c r="A767" s="12" t="s">
        <v>354</v>
      </c>
      <c r="B767" s="20"/>
      <c r="C767" s="20"/>
      <c r="D767" s="20"/>
      <c r="E767" s="20"/>
      <c r="F767" s="20" t="s">
        <v>403</v>
      </c>
      <c r="G767" s="236">
        <f t="shared" si="67"/>
        <v>1690000</v>
      </c>
      <c r="H767" s="236">
        <f>267000+100000</f>
        <v>367000</v>
      </c>
      <c r="I767" s="236">
        <f>615500-100000</f>
        <v>515500</v>
      </c>
      <c r="J767" s="236">
        <v>540000</v>
      </c>
      <c r="K767" s="236">
        <v>267500</v>
      </c>
      <c r="L767" s="214">
        <f>'ИСПОЛНЕНИЕ 1 КВ.'!H768+'ИСПОЛНЕНИЕ 2 КВ. '!I777</f>
        <v>2326691.62</v>
      </c>
      <c r="M767" s="236">
        <f>G767-L767</f>
        <v>-636691.6200000001</v>
      </c>
    </row>
    <row r="768" spans="1:13" s="21" customFormat="1" ht="12.75">
      <c r="A768" s="125" t="s">
        <v>241</v>
      </c>
      <c r="B768" s="14" t="s">
        <v>162</v>
      </c>
      <c r="C768" s="14" t="s">
        <v>368</v>
      </c>
      <c r="D768" s="14" t="s">
        <v>79</v>
      </c>
      <c r="E768" s="14"/>
      <c r="F768" s="14"/>
      <c r="G768" s="235">
        <f t="shared" si="67"/>
        <v>120000</v>
      </c>
      <c r="H768" s="235">
        <f aca="true" t="shared" si="69" ref="H768:M769">H769</f>
        <v>30000</v>
      </c>
      <c r="I768" s="235">
        <f t="shared" si="69"/>
        <v>30000</v>
      </c>
      <c r="J768" s="235">
        <f t="shared" si="69"/>
        <v>30000</v>
      </c>
      <c r="K768" s="235">
        <f t="shared" si="69"/>
        <v>30000</v>
      </c>
      <c r="L768" s="235">
        <f t="shared" si="69"/>
        <v>99657.65</v>
      </c>
      <c r="M768" s="235">
        <f t="shared" si="69"/>
        <v>20342.350000000006</v>
      </c>
    </row>
    <row r="769" spans="1:13" s="21" customFormat="1" ht="12.75">
      <c r="A769" s="87" t="s">
        <v>37</v>
      </c>
      <c r="B769" s="14" t="s">
        <v>162</v>
      </c>
      <c r="C769" s="20" t="s">
        <v>368</v>
      </c>
      <c r="D769" s="20" t="s">
        <v>79</v>
      </c>
      <c r="E769" s="20" t="s">
        <v>38</v>
      </c>
      <c r="F769" s="20"/>
      <c r="G769" s="236">
        <f t="shared" si="67"/>
        <v>120000</v>
      </c>
      <c r="H769" s="236">
        <f t="shared" si="69"/>
        <v>30000</v>
      </c>
      <c r="I769" s="236">
        <f t="shared" si="69"/>
        <v>30000</v>
      </c>
      <c r="J769" s="236">
        <f t="shared" si="69"/>
        <v>30000</v>
      </c>
      <c r="K769" s="236">
        <f t="shared" si="69"/>
        <v>30000</v>
      </c>
      <c r="L769" s="214">
        <f>'ИСПОЛНЕНИЕ 1 КВ.'!H770+'ИСПОЛНЕНИЕ 2 КВ. '!I779</f>
        <v>99657.65</v>
      </c>
      <c r="M769" s="236">
        <f t="shared" si="69"/>
        <v>20342.350000000006</v>
      </c>
    </row>
    <row r="770" spans="1:13" s="21" customFormat="1" ht="25.5">
      <c r="A770" s="12" t="s">
        <v>354</v>
      </c>
      <c r="B770" s="14"/>
      <c r="C770" s="20"/>
      <c r="D770" s="20"/>
      <c r="E770" s="20"/>
      <c r="F770" s="20" t="s">
        <v>403</v>
      </c>
      <c r="G770" s="236">
        <f t="shared" si="67"/>
        <v>120000</v>
      </c>
      <c r="H770" s="236">
        <v>30000</v>
      </c>
      <c r="I770" s="236">
        <v>30000</v>
      </c>
      <c r="J770" s="236">
        <v>30000</v>
      </c>
      <c r="K770" s="236">
        <v>30000</v>
      </c>
      <c r="L770" s="214">
        <f>'ИСПОЛНЕНИЕ 1 КВ.'!H771+'ИСПОЛНЕНИЕ 2 КВ. '!I780</f>
        <v>99657.65</v>
      </c>
      <c r="M770" s="236">
        <f>G770-L770</f>
        <v>20342.350000000006</v>
      </c>
    </row>
    <row r="771" spans="1:13" s="21" customFormat="1" ht="12.75">
      <c r="A771" s="49" t="s">
        <v>80</v>
      </c>
      <c r="B771" s="48" t="s">
        <v>163</v>
      </c>
      <c r="C771" s="48" t="s">
        <v>128</v>
      </c>
      <c r="D771" s="48" t="s">
        <v>81</v>
      </c>
      <c r="E771" s="48"/>
      <c r="F771" s="48"/>
      <c r="G771" s="238">
        <f t="shared" si="67"/>
        <v>775400</v>
      </c>
      <c r="H771" s="238">
        <f aca="true" t="shared" si="70" ref="H771:M772">H772</f>
        <v>160000</v>
      </c>
      <c r="I771" s="238">
        <f t="shared" si="70"/>
        <v>285700</v>
      </c>
      <c r="J771" s="238">
        <f t="shared" si="70"/>
        <v>244700</v>
      </c>
      <c r="K771" s="238">
        <f t="shared" si="70"/>
        <v>85000</v>
      </c>
      <c r="L771" s="238">
        <f t="shared" si="70"/>
        <v>409756.4</v>
      </c>
      <c r="M771" s="238">
        <f t="shared" si="70"/>
        <v>365643.6</v>
      </c>
    </row>
    <row r="772" spans="1:13" s="21" customFormat="1" ht="12.75">
      <c r="A772" s="87" t="s">
        <v>37</v>
      </c>
      <c r="B772" s="14" t="s">
        <v>163</v>
      </c>
      <c r="C772" s="14" t="s">
        <v>128</v>
      </c>
      <c r="D772" s="14" t="s">
        <v>81</v>
      </c>
      <c r="E772" s="14" t="s">
        <v>38</v>
      </c>
      <c r="F772" s="14"/>
      <c r="G772" s="235">
        <f t="shared" si="67"/>
        <v>775400</v>
      </c>
      <c r="H772" s="235">
        <f t="shared" si="70"/>
        <v>160000</v>
      </c>
      <c r="I772" s="235">
        <f t="shared" si="70"/>
        <v>285700</v>
      </c>
      <c r="J772" s="235">
        <f t="shared" si="70"/>
        <v>244700</v>
      </c>
      <c r="K772" s="235">
        <f t="shared" si="70"/>
        <v>85000</v>
      </c>
      <c r="L772" s="235">
        <f t="shared" si="70"/>
        <v>409756.4</v>
      </c>
      <c r="M772" s="235">
        <f t="shared" si="70"/>
        <v>365643.6</v>
      </c>
    </row>
    <row r="773" spans="1:13" s="21" customFormat="1" ht="25.5">
      <c r="A773" s="12" t="s">
        <v>408</v>
      </c>
      <c r="B773" s="20"/>
      <c r="C773" s="20"/>
      <c r="D773" s="20"/>
      <c r="E773" s="20"/>
      <c r="F773" s="20" t="s">
        <v>403</v>
      </c>
      <c r="G773" s="236">
        <f t="shared" si="67"/>
        <v>775400</v>
      </c>
      <c r="H773" s="236">
        <v>160000</v>
      </c>
      <c r="I773" s="236">
        <v>285700</v>
      </c>
      <c r="J773" s="236">
        <v>244700</v>
      </c>
      <c r="K773" s="236">
        <v>85000</v>
      </c>
      <c r="L773" s="214">
        <f>'ИСПОЛНЕНИЕ 1 КВ.'!H774+'ИСПОЛНЕНИЕ 2 КВ. '!I783</f>
        <v>409756.4</v>
      </c>
      <c r="M773" s="236">
        <f>G773-L773</f>
        <v>365643.6</v>
      </c>
    </row>
    <row r="774" spans="1:13" s="21" customFormat="1" ht="12.75" hidden="1">
      <c r="A774" s="12" t="s">
        <v>132</v>
      </c>
      <c r="B774" s="20"/>
      <c r="C774" s="20"/>
      <c r="D774" s="20"/>
      <c r="E774" s="20"/>
      <c r="F774" s="20"/>
      <c r="G774" s="236">
        <f>SUM(H774:H774)</f>
        <v>0</v>
      </c>
      <c r="H774" s="236"/>
      <c r="I774" s="236"/>
      <c r="J774" s="236"/>
      <c r="K774" s="236"/>
      <c r="L774" s="214">
        <f>'ИСПОЛНЕНИЕ 1 КВ.'!H775+'ИСПОЛНЕНИЕ 2 КВ. '!I784</f>
        <v>0</v>
      </c>
      <c r="M774" s="236"/>
    </row>
    <row r="775" spans="1:13" s="21" customFormat="1" ht="12.75" hidden="1">
      <c r="A775" s="12" t="s">
        <v>133</v>
      </c>
      <c r="B775" s="20"/>
      <c r="C775" s="20"/>
      <c r="D775" s="20"/>
      <c r="E775" s="20"/>
      <c r="F775" s="20"/>
      <c r="G775" s="236">
        <f>SUM(H775:H775)</f>
        <v>0</v>
      </c>
      <c r="H775" s="236"/>
      <c r="I775" s="236"/>
      <c r="J775" s="236"/>
      <c r="K775" s="236"/>
      <c r="L775" s="214">
        <f>'ИСПОЛНЕНИЕ 1 КВ.'!H776+'ИСПОЛНЕНИЕ 2 КВ. '!I785</f>
        <v>0</v>
      </c>
      <c r="M775" s="236"/>
    </row>
    <row r="776" spans="1:13" s="21" customFormat="1" ht="12.75" hidden="1">
      <c r="A776" s="12" t="s">
        <v>134</v>
      </c>
      <c r="B776" s="20"/>
      <c r="C776" s="20"/>
      <c r="D776" s="20"/>
      <c r="E776" s="20"/>
      <c r="F776" s="20"/>
      <c r="G776" s="236">
        <f>SUM(H776:H776)</f>
        <v>0</v>
      </c>
      <c r="H776" s="236"/>
      <c r="I776" s="236"/>
      <c r="J776" s="236"/>
      <c r="K776" s="236"/>
      <c r="L776" s="214">
        <f>'ИСПОЛНЕНИЕ 1 КВ.'!H777+'ИСПОЛНЕНИЕ 2 КВ. '!I786</f>
        <v>0</v>
      </c>
      <c r="M776" s="236"/>
    </row>
    <row r="777" spans="1:13" s="21" customFormat="1" ht="12.75" hidden="1">
      <c r="A777" s="12" t="s">
        <v>139</v>
      </c>
      <c r="B777" s="20"/>
      <c r="C777" s="20"/>
      <c r="D777" s="20"/>
      <c r="E777" s="20"/>
      <c r="F777" s="20"/>
      <c r="G777" s="236">
        <f>SUM(H777:H777)</f>
        <v>0</v>
      </c>
      <c r="H777" s="236"/>
      <c r="I777" s="236"/>
      <c r="J777" s="236"/>
      <c r="K777" s="236"/>
      <c r="L777" s="214">
        <f>'ИСПОЛНЕНИЕ 1 КВ.'!H778+'ИСПОЛНЕНИЕ 2 КВ. '!I787</f>
        <v>0</v>
      </c>
      <c r="M777" s="236"/>
    </row>
    <row r="778" spans="1:13" s="21" customFormat="1" ht="12.75" hidden="1">
      <c r="A778" s="12" t="s">
        <v>135</v>
      </c>
      <c r="B778" s="20"/>
      <c r="C778" s="20"/>
      <c r="D778" s="20"/>
      <c r="E778" s="20"/>
      <c r="F778" s="20"/>
      <c r="G778" s="236">
        <f>SUM(H778:H778)</f>
        <v>0</v>
      </c>
      <c r="H778" s="236"/>
      <c r="I778" s="236"/>
      <c r="J778" s="236"/>
      <c r="K778" s="236"/>
      <c r="L778" s="214">
        <f>'ИСПОЛНЕНИЕ 1 КВ.'!H779+'ИСПОЛНЕНИЕ 2 КВ. '!I788</f>
        <v>0</v>
      </c>
      <c r="M778" s="236"/>
    </row>
    <row r="779" spans="1:13" s="21" customFormat="1" ht="12.75">
      <c r="A779" s="12"/>
      <c r="B779" s="20"/>
      <c r="C779" s="20"/>
      <c r="D779" s="20"/>
      <c r="E779" s="20"/>
      <c r="F779" s="20"/>
      <c r="G779" s="236"/>
      <c r="H779" s="236"/>
      <c r="I779" s="236"/>
      <c r="J779" s="236"/>
      <c r="K779" s="236"/>
      <c r="L779" s="214">
        <f>'ИСПОЛНЕНИЕ 1 КВ.'!H780+'ИСПОЛНЕНИЕ 2 КВ. '!I789</f>
        <v>0</v>
      </c>
      <c r="M779" s="236"/>
    </row>
    <row r="780" spans="1:13" s="21" customFormat="1" ht="12.75">
      <c r="A780" s="167" t="s">
        <v>235</v>
      </c>
      <c r="B780" s="48" t="s">
        <v>273</v>
      </c>
      <c r="C780" s="160" t="s">
        <v>88</v>
      </c>
      <c r="D780" s="160" t="s">
        <v>2</v>
      </c>
      <c r="E780" s="160"/>
      <c r="F780" s="160"/>
      <c r="G780" s="238">
        <f aca="true" t="shared" si="71" ref="G780:G798">H780+I780+J780+K780</f>
        <v>2474616.7</v>
      </c>
      <c r="H780" s="238">
        <f aca="true" t="shared" si="72" ref="H780:M780">H781</f>
        <v>662904</v>
      </c>
      <c r="I780" s="238">
        <f t="shared" si="72"/>
        <v>588904.2</v>
      </c>
      <c r="J780" s="238">
        <f t="shared" si="72"/>
        <v>633904.2</v>
      </c>
      <c r="K780" s="238">
        <f t="shared" si="72"/>
        <v>588904.3</v>
      </c>
      <c r="L780" s="238">
        <f t="shared" si="72"/>
        <v>1316075.62</v>
      </c>
      <c r="M780" s="238">
        <f t="shared" si="72"/>
        <v>1158541.08</v>
      </c>
    </row>
    <row r="781" spans="1:13" s="21" customFormat="1" ht="12.75">
      <c r="A781" s="22" t="s">
        <v>274</v>
      </c>
      <c r="B781" s="14" t="s">
        <v>236</v>
      </c>
      <c r="C781" s="14" t="s">
        <v>88</v>
      </c>
      <c r="D781" s="14" t="s">
        <v>2</v>
      </c>
      <c r="E781" s="14"/>
      <c r="F781" s="14"/>
      <c r="G781" s="235">
        <f t="shared" si="71"/>
        <v>2474616.7</v>
      </c>
      <c r="H781" s="235">
        <f aca="true" t="shared" si="73" ref="H781:M781">H782+H788+H785</f>
        <v>662904</v>
      </c>
      <c r="I781" s="235">
        <f t="shared" si="73"/>
        <v>588904.2</v>
      </c>
      <c r="J781" s="235">
        <f t="shared" si="73"/>
        <v>633904.2</v>
      </c>
      <c r="K781" s="235">
        <f t="shared" si="73"/>
        <v>588904.3</v>
      </c>
      <c r="L781" s="235">
        <f t="shared" si="73"/>
        <v>1316075.62</v>
      </c>
      <c r="M781" s="235">
        <f t="shared" si="73"/>
        <v>1158541.08</v>
      </c>
    </row>
    <row r="782" spans="1:13" s="21" customFormat="1" ht="51">
      <c r="A782" s="22" t="s">
        <v>275</v>
      </c>
      <c r="B782" s="14" t="s">
        <v>236</v>
      </c>
      <c r="C782" s="14" t="s">
        <v>294</v>
      </c>
      <c r="D782" s="14" t="s">
        <v>277</v>
      </c>
      <c r="E782" s="14"/>
      <c r="F782" s="14"/>
      <c r="G782" s="235">
        <f t="shared" si="71"/>
        <v>1395616.7</v>
      </c>
      <c r="H782" s="235">
        <f aca="true" t="shared" si="74" ref="H782:M783">H783</f>
        <v>348904</v>
      </c>
      <c r="I782" s="235">
        <f t="shared" si="74"/>
        <v>348904.2</v>
      </c>
      <c r="J782" s="235">
        <f t="shared" si="74"/>
        <v>348904.2</v>
      </c>
      <c r="K782" s="235">
        <f t="shared" si="74"/>
        <v>348904.3</v>
      </c>
      <c r="L782" s="235">
        <f t="shared" si="74"/>
        <v>577095</v>
      </c>
      <c r="M782" s="235">
        <f t="shared" si="74"/>
        <v>818521.7</v>
      </c>
    </row>
    <row r="783" spans="1:13" s="21" customFormat="1" ht="12.75">
      <c r="A783" s="11" t="s">
        <v>278</v>
      </c>
      <c r="B783" s="20" t="s">
        <v>236</v>
      </c>
      <c r="C783" s="14" t="s">
        <v>294</v>
      </c>
      <c r="D783" s="20" t="s">
        <v>277</v>
      </c>
      <c r="E783" s="20" t="s">
        <v>43</v>
      </c>
      <c r="F783" s="20"/>
      <c r="G783" s="236">
        <f t="shared" si="71"/>
        <v>1395616.7</v>
      </c>
      <c r="H783" s="236">
        <f t="shared" si="74"/>
        <v>348904</v>
      </c>
      <c r="I783" s="236">
        <f t="shared" si="74"/>
        <v>348904.2</v>
      </c>
      <c r="J783" s="236">
        <f t="shared" si="74"/>
        <v>348904.2</v>
      </c>
      <c r="K783" s="236">
        <f t="shared" si="74"/>
        <v>348904.3</v>
      </c>
      <c r="L783" s="214">
        <f>'ИСПОЛНЕНИЕ 1 КВ.'!H784+'ИСПОЛНЕНИЕ 2 КВ. '!I793</f>
        <v>577095</v>
      </c>
      <c r="M783" s="236">
        <f t="shared" si="74"/>
        <v>818521.7</v>
      </c>
    </row>
    <row r="784" spans="1:13" s="21" customFormat="1" ht="12.75">
      <c r="A784" s="11" t="s">
        <v>44</v>
      </c>
      <c r="B784" s="20" t="s">
        <v>236</v>
      </c>
      <c r="C784" s="14" t="s">
        <v>294</v>
      </c>
      <c r="D784" s="20" t="s">
        <v>277</v>
      </c>
      <c r="E784" s="20" t="s">
        <v>45</v>
      </c>
      <c r="F784" s="20" t="s">
        <v>369</v>
      </c>
      <c r="G784" s="261">
        <f t="shared" si="71"/>
        <v>1395616.7</v>
      </c>
      <c r="H784" s="236">
        <v>348904</v>
      </c>
      <c r="I784" s="236">
        <v>348904.2</v>
      </c>
      <c r="J784" s="236">
        <v>348904.2</v>
      </c>
      <c r="K784" s="236">
        <v>348904.3</v>
      </c>
      <c r="L784" s="214">
        <f>'ИСПОЛНЕНИЕ 1 КВ.'!H785+'ИСПОЛНЕНИЕ 2 КВ. '!I794</f>
        <v>577095</v>
      </c>
      <c r="M784" s="236">
        <f>G784-L784</f>
        <v>818521.7</v>
      </c>
    </row>
    <row r="785" spans="1:13" s="21" customFormat="1" ht="12.75">
      <c r="A785" s="22" t="s">
        <v>237</v>
      </c>
      <c r="B785" s="164" t="s">
        <v>236</v>
      </c>
      <c r="C785" s="164" t="s">
        <v>238</v>
      </c>
      <c r="D785" s="164" t="s">
        <v>239</v>
      </c>
      <c r="E785" s="164"/>
      <c r="F785" s="164"/>
      <c r="G785" s="244">
        <f t="shared" si="71"/>
        <v>79000</v>
      </c>
      <c r="H785" s="244">
        <f aca="true" t="shared" si="75" ref="H785:M786">H786</f>
        <v>79000</v>
      </c>
      <c r="I785" s="244">
        <f t="shared" si="75"/>
        <v>0</v>
      </c>
      <c r="J785" s="244">
        <f t="shared" si="75"/>
        <v>0</v>
      </c>
      <c r="K785" s="244">
        <f t="shared" si="75"/>
        <v>0</v>
      </c>
      <c r="L785" s="244">
        <f t="shared" si="75"/>
        <v>120480.62</v>
      </c>
      <c r="M785" s="244">
        <f t="shared" si="75"/>
        <v>-41480.619999999995</v>
      </c>
    </row>
    <row r="786" spans="1:13" s="21" customFormat="1" ht="12.75">
      <c r="A786" s="11" t="s">
        <v>42</v>
      </c>
      <c r="B786" s="20" t="s">
        <v>236</v>
      </c>
      <c r="C786" s="20" t="s">
        <v>276</v>
      </c>
      <c r="D786" s="20" t="s">
        <v>239</v>
      </c>
      <c r="E786" s="20" t="s">
        <v>43</v>
      </c>
      <c r="F786" s="20"/>
      <c r="G786" s="236">
        <f t="shared" si="71"/>
        <v>79000</v>
      </c>
      <c r="H786" s="236">
        <f t="shared" si="75"/>
        <v>79000</v>
      </c>
      <c r="I786" s="236">
        <f t="shared" si="75"/>
        <v>0</v>
      </c>
      <c r="J786" s="236">
        <f t="shared" si="75"/>
        <v>0</v>
      </c>
      <c r="K786" s="236">
        <f t="shared" si="75"/>
        <v>0</v>
      </c>
      <c r="L786" s="214">
        <f>'ИСПОЛНЕНИЕ 1 КВ.'!H787+'ИСПОЛНЕНИЕ 2 КВ. '!I796</f>
        <v>120480.62</v>
      </c>
      <c r="M786" s="236">
        <f t="shared" si="75"/>
        <v>-41480.619999999995</v>
      </c>
    </row>
    <row r="787" spans="1:13" s="21" customFormat="1" ht="12.75">
      <c r="A787" s="11" t="s">
        <v>44</v>
      </c>
      <c r="B787" s="20" t="s">
        <v>236</v>
      </c>
      <c r="C787" s="20" t="s">
        <v>276</v>
      </c>
      <c r="D787" s="20" t="s">
        <v>239</v>
      </c>
      <c r="E787" s="20" t="s">
        <v>45</v>
      </c>
      <c r="F787" s="20" t="s">
        <v>369</v>
      </c>
      <c r="G787" s="236">
        <f t="shared" si="71"/>
        <v>79000</v>
      </c>
      <c r="H787" s="236">
        <v>79000</v>
      </c>
      <c r="I787" s="236"/>
      <c r="J787" s="236"/>
      <c r="K787" s="236"/>
      <c r="L787" s="214">
        <f>'ИСПОЛНЕНИЕ 1 КВ.'!H788+'ИСПОЛНЕНИЕ 2 КВ. '!I797</f>
        <v>120480.62</v>
      </c>
      <c r="M787" s="236">
        <f>G787-L787</f>
        <v>-41480.619999999995</v>
      </c>
    </row>
    <row r="788" spans="1:13" s="21" customFormat="1" ht="25.5">
      <c r="A788" s="22" t="s">
        <v>279</v>
      </c>
      <c r="B788" s="14" t="s">
        <v>236</v>
      </c>
      <c r="C788" s="14" t="s">
        <v>280</v>
      </c>
      <c r="D788" s="14" t="s">
        <v>281</v>
      </c>
      <c r="E788" s="14"/>
      <c r="F788" s="14"/>
      <c r="G788" s="235">
        <f t="shared" si="71"/>
        <v>1000000</v>
      </c>
      <c r="H788" s="235">
        <f aca="true" t="shared" si="76" ref="H788:M792">H789</f>
        <v>235000</v>
      </c>
      <c r="I788" s="235">
        <f t="shared" si="76"/>
        <v>240000</v>
      </c>
      <c r="J788" s="235">
        <f t="shared" si="76"/>
        <v>285000</v>
      </c>
      <c r="K788" s="235">
        <f t="shared" si="76"/>
        <v>240000</v>
      </c>
      <c r="L788" s="235">
        <f t="shared" si="76"/>
        <v>618500</v>
      </c>
      <c r="M788" s="235">
        <f t="shared" si="76"/>
        <v>381500</v>
      </c>
    </row>
    <row r="789" spans="1:13" s="21" customFormat="1" ht="12.75">
      <c r="A789" s="11" t="s">
        <v>15</v>
      </c>
      <c r="B789" s="20" t="s">
        <v>236</v>
      </c>
      <c r="C789" s="20" t="s">
        <v>280</v>
      </c>
      <c r="D789" s="20" t="s">
        <v>281</v>
      </c>
      <c r="E789" s="20" t="s">
        <v>16</v>
      </c>
      <c r="F789" s="20"/>
      <c r="G789" s="236">
        <f t="shared" si="71"/>
        <v>1000000</v>
      </c>
      <c r="H789" s="236">
        <f t="shared" si="76"/>
        <v>235000</v>
      </c>
      <c r="I789" s="236">
        <f t="shared" si="76"/>
        <v>240000</v>
      </c>
      <c r="J789" s="236">
        <f t="shared" si="76"/>
        <v>285000</v>
      </c>
      <c r="K789" s="236">
        <f t="shared" si="76"/>
        <v>240000</v>
      </c>
      <c r="L789" s="214">
        <f>'ИСПОЛНЕНИЕ 1 КВ.'!H790+'ИСПОЛНЕНИЕ 2 КВ. '!I799</f>
        <v>618500</v>
      </c>
      <c r="M789" s="236">
        <f t="shared" si="76"/>
        <v>381500</v>
      </c>
    </row>
    <row r="790" spans="1:13" s="21" customFormat="1" ht="12.75">
      <c r="A790" s="11" t="s">
        <v>37</v>
      </c>
      <c r="B790" s="20" t="s">
        <v>236</v>
      </c>
      <c r="C790" s="20" t="s">
        <v>280</v>
      </c>
      <c r="D790" s="20" t="s">
        <v>281</v>
      </c>
      <c r="E790" s="20" t="s">
        <v>38</v>
      </c>
      <c r="F790" s="20"/>
      <c r="G790" s="236">
        <f t="shared" si="71"/>
        <v>1000000</v>
      </c>
      <c r="H790" s="236">
        <f t="shared" si="76"/>
        <v>235000</v>
      </c>
      <c r="I790" s="236">
        <f t="shared" si="76"/>
        <v>240000</v>
      </c>
      <c r="J790" s="236">
        <f t="shared" si="76"/>
        <v>285000</v>
      </c>
      <c r="K790" s="236">
        <f t="shared" si="76"/>
        <v>240000</v>
      </c>
      <c r="L790" s="214">
        <f>'ИСПОЛНЕНИЕ 1 КВ.'!H791+'ИСПОЛНЕНИЕ 2 КВ. '!I800</f>
        <v>618500</v>
      </c>
      <c r="M790" s="236">
        <f t="shared" si="76"/>
        <v>381500</v>
      </c>
    </row>
    <row r="791" spans="1:13" s="21" customFormat="1" ht="25.5">
      <c r="A791" s="168" t="s">
        <v>354</v>
      </c>
      <c r="B791" s="17"/>
      <c r="C791" s="17"/>
      <c r="D791" s="17"/>
      <c r="E791" s="17"/>
      <c r="F791" s="20" t="s">
        <v>382</v>
      </c>
      <c r="G791" s="240">
        <f t="shared" si="71"/>
        <v>1000000</v>
      </c>
      <c r="H791" s="240">
        <f>H792</f>
        <v>235000</v>
      </c>
      <c r="I791" s="240">
        <f>I792</f>
        <v>240000</v>
      </c>
      <c r="J791" s="240">
        <f>J792</f>
        <v>285000</v>
      </c>
      <c r="K791" s="240">
        <f>K792</f>
        <v>240000</v>
      </c>
      <c r="L791" s="214">
        <f>'ИСПОЛНЕНИЕ 1 КВ.'!H792+'ИСПОЛНЕНИЕ 2 КВ. '!I801</f>
        <v>618500</v>
      </c>
      <c r="M791" s="240">
        <f t="shared" si="76"/>
        <v>381500</v>
      </c>
    </row>
    <row r="792" spans="1:13" s="21" customFormat="1" ht="12.75">
      <c r="A792" s="11" t="s">
        <v>283</v>
      </c>
      <c r="B792" s="20"/>
      <c r="C792" s="20"/>
      <c r="D792" s="20"/>
      <c r="E792" s="20"/>
      <c r="F792" s="20"/>
      <c r="G792" s="236">
        <f t="shared" si="71"/>
        <v>1000000</v>
      </c>
      <c r="H792" s="236">
        <f t="shared" si="76"/>
        <v>235000</v>
      </c>
      <c r="I792" s="236">
        <f t="shared" si="76"/>
        <v>240000</v>
      </c>
      <c r="J792" s="236">
        <f t="shared" si="76"/>
        <v>285000</v>
      </c>
      <c r="K792" s="236">
        <f t="shared" si="76"/>
        <v>240000</v>
      </c>
      <c r="L792" s="214">
        <f>'ИСПОЛНЕНИЕ 1 КВ.'!H793+'ИСПОЛНЕНИЕ 2 КВ. '!I802</f>
        <v>618500</v>
      </c>
      <c r="M792" s="236">
        <f t="shared" si="76"/>
        <v>381500</v>
      </c>
    </row>
    <row r="793" spans="1:13" s="21" customFormat="1" ht="24.75" customHeight="1">
      <c r="A793" s="11" t="s">
        <v>282</v>
      </c>
      <c r="B793" s="20"/>
      <c r="C793" s="20"/>
      <c r="D793" s="20"/>
      <c r="E793" s="20"/>
      <c r="F793" s="20"/>
      <c r="G793" s="236">
        <f t="shared" si="71"/>
        <v>1000000</v>
      </c>
      <c r="H793" s="236">
        <v>235000</v>
      </c>
      <c r="I793" s="236">
        <v>240000</v>
      </c>
      <c r="J793" s="236">
        <v>285000</v>
      </c>
      <c r="K793" s="236">
        <v>240000</v>
      </c>
      <c r="L793" s="214">
        <f>'ИСПОЛНЕНИЕ 1 КВ.'!H794+'ИСПОЛНЕНИЕ 2 КВ. '!I803</f>
        <v>618500</v>
      </c>
      <c r="M793" s="236">
        <f>G793-L793</f>
        <v>381500</v>
      </c>
    </row>
    <row r="794" spans="1:13" s="21" customFormat="1" ht="12.75">
      <c r="A794" s="125" t="s">
        <v>290</v>
      </c>
      <c r="B794" s="14" t="s">
        <v>240</v>
      </c>
      <c r="C794" s="14" t="s">
        <v>88</v>
      </c>
      <c r="D794" s="14" t="s">
        <v>2</v>
      </c>
      <c r="E794" s="20"/>
      <c r="F794" s="20"/>
      <c r="G794" s="235">
        <f t="shared" si="71"/>
        <v>8275900</v>
      </c>
      <c r="H794" s="235">
        <f aca="true" t="shared" si="77" ref="H794:M796">H795</f>
        <v>2068975</v>
      </c>
      <c r="I794" s="235">
        <f t="shared" si="77"/>
        <v>2068975</v>
      </c>
      <c r="J794" s="235">
        <f t="shared" si="77"/>
        <v>2068975</v>
      </c>
      <c r="K794" s="235">
        <f t="shared" si="77"/>
        <v>2068975</v>
      </c>
      <c r="L794" s="235">
        <f t="shared" si="77"/>
        <v>6206924.97</v>
      </c>
      <c r="M794" s="235">
        <f t="shared" si="77"/>
        <v>2068975.0300000003</v>
      </c>
    </row>
    <row r="795" spans="1:13" s="21" customFormat="1" ht="25.5">
      <c r="A795" s="125" t="s">
        <v>291</v>
      </c>
      <c r="B795" s="14" t="s">
        <v>292</v>
      </c>
      <c r="C795" s="14" t="s">
        <v>88</v>
      </c>
      <c r="D795" s="14" t="s">
        <v>2</v>
      </c>
      <c r="E795" s="20"/>
      <c r="F795" s="20"/>
      <c r="G795" s="235">
        <f t="shared" si="71"/>
        <v>8275900</v>
      </c>
      <c r="H795" s="235">
        <f t="shared" si="77"/>
        <v>2068975</v>
      </c>
      <c r="I795" s="235">
        <f t="shared" si="77"/>
        <v>2068975</v>
      </c>
      <c r="J795" s="235">
        <f t="shared" si="77"/>
        <v>2068975</v>
      </c>
      <c r="K795" s="235">
        <f t="shared" si="77"/>
        <v>2068975</v>
      </c>
      <c r="L795" s="235">
        <f t="shared" si="77"/>
        <v>6206924.97</v>
      </c>
      <c r="M795" s="235">
        <f t="shared" si="77"/>
        <v>2068975.0300000003</v>
      </c>
    </row>
    <row r="796" spans="1:13" s="21" customFormat="1" ht="12.75">
      <c r="A796" s="6" t="s">
        <v>293</v>
      </c>
      <c r="B796" s="20" t="s">
        <v>292</v>
      </c>
      <c r="C796" s="20" t="s">
        <v>294</v>
      </c>
      <c r="D796" s="20" t="s">
        <v>2</v>
      </c>
      <c r="E796" s="20"/>
      <c r="F796" s="20"/>
      <c r="G796" s="236">
        <f t="shared" si="71"/>
        <v>8275900</v>
      </c>
      <c r="H796" s="236">
        <f t="shared" si="77"/>
        <v>2068975</v>
      </c>
      <c r="I796" s="236">
        <f t="shared" si="77"/>
        <v>2068975</v>
      </c>
      <c r="J796" s="236">
        <f t="shared" si="77"/>
        <v>2068975</v>
      </c>
      <c r="K796" s="236">
        <f t="shared" si="77"/>
        <v>2068975</v>
      </c>
      <c r="L796" s="214">
        <f>'ИСПОЛНЕНИЕ 1 КВ.'!H797+'ИСПОЛНЕНИЕ 2 КВ. '!I806</f>
        <v>6206924.97</v>
      </c>
      <c r="M796" s="236">
        <f t="shared" si="77"/>
        <v>2068975.0300000003</v>
      </c>
    </row>
    <row r="797" spans="1:13" s="21" customFormat="1" ht="38.25">
      <c r="A797" s="6" t="s">
        <v>296</v>
      </c>
      <c r="B797" s="20" t="s">
        <v>292</v>
      </c>
      <c r="C797" s="20" t="s">
        <v>294</v>
      </c>
      <c r="D797" s="20" t="s">
        <v>295</v>
      </c>
      <c r="E797" s="20" t="s">
        <v>404</v>
      </c>
      <c r="F797" s="20" t="s">
        <v>369</v>
      </c>
      <c r="G797" s="236">
        <f t="shared" si="71"/>
        <v>8275900</v>
      </c>
      <c r="H797" s="236">
        <v>2068975</v>
      </c>
      <c r="I797" s="236">
        <v>2068975</v>
      </c>
      <c r="J797" s="236">
        <v>2068975</v>
      </c>
      <c r="K797" s="236">
        <v>2068975</v>
      </c>
      <c r="L797" s="214">
        <f>'ИСПОЛНЕНИЕ 1 КВ.'!H798+'ИСПОЛНЕНИЕ 2 КВ. '!I807</f>
        <v>6206924.97</v>
      </c>
      <c r="M797" s="236">
        <f>G797-L797</f>
        <v>2068975.0300000003</v>
      </c>
    </row>
    <row r="798" spans="1:13" s="45" customFormat="1" ht="15.75">
      <c r="A798" s="170" t="s">
        <v>230</v>
      </c>
      <c r="B798" s="171"/>
      <c r="C798" s="171"/>
      <c r="D798" s="171"/>
      <c r="E798" s="171"/>
      <c r="F798" s="171"/>
      <c r="G798" s="256">
        <f t="shared" si="71"/>
        <v>51585466.962000005</v>
      </c>
      <c r="H798" s="256">
        <f aca="true" t="shared" si="78" ref="H798:M798">H780+H771+H678+H343+H327+H10+H794+H320+H316</f>
        <v>11976485.53</v>
      </c>
      <c r="I798" s="256">
        <f t="shared" si="78"/>
        <v>14207695.43</v>
      </c>
      <c r="J798" s="256">
        <f t="shared" si="78"/>
        <v>14119569.8</v>
      </c>
      <c r="K798" s="256">
        <f t="shared" si="78"/>
        <v>11281716.202</v>
      </c>
      <c r="L798" s="256" t="e">
        <f t="shared" si="78"/>
        <v>#REF!</v>
      </c>
      <c r="M798" s="256" t="e">
        <f t="shared" si="78"/>
        <v>#REF!</v>
      </c>
    </row>
    <row r="799" spans="1:13" s="45" customFormat="1" ht="15.75">
      <c r="A799" s="177"/>
      <c r="B799" s="178"/>
      <c r="C799" s="178"/>
      <c r="D799" s="178"/>
      <c r="E799" s="178"/>
      <c r="F799" s="178"/>
      <c r="G799" s="257">
        <f>H798+I798+J798+K798</f>
        <v>51585466.962000005</v>
      </c>
      <c r="H799" s="257">
        <v>11976485.53</v>
      </c>
      <c r="I799" s="257">
        <v>14207695.43</v>
      </c>
      <c r="J799" s="257">
        <v>14119569.8</v>
      </c>
      <c r="K799" s="257">
        <v>11281716.2</v>
      </c>
      <c r="L799" s="263">
        <v>7349623.69</v>
      </c>
      <c r="M799" s="258"/>
    </row>
    <row r="800" spans="1:13" s="45" customFormat="1" ht="15.75">
      <c r="A800" s="179"/>
      <c r="B800" s="180"/>
      <c r="C800" s="180"/>
      <c r="D800" s="180"/>
      <c r="E800" s="180"/>
      <c r="F800" s="180"/>
      <c r="G800" s="181">
        <f aca="true" t="shared" si="79" ref="G800:L800">G799-G798</f>
        <v>0</v>
      </c>
      <c r="H800" s="181">
        <f t="shared" si="79"/>
        <v>0</v>
      </c>
      <c r="I800" s="181">
        <f t="shared" si="79"/>
        <v>0</v>
      </c>
      <c r="J800" s="181">
        <f t="shared" si="79"/>
        <v>0</v>
      </c>
      <c r="K800" s="181">
        <f t="shared" si="79"/>
        <v>-0.0020000003278255463</v>
      </c>
      <c r="L800" s="181" t="e">
        <f t="shared" si="79"/>
        <v>#REF!</v>
      </c>
      <c r="M800" s="181"/>
    </row>
    <row r="801" spans="1:11" s="45" customFormat="1" ht="17.25" customHeight="1">
      <c r="A801" s="179" t="s">
        <v>333</v>
      </c>
      <c r="B801" s="180"/>
      <c r="C801" s="180"/>
      <c r="D801" s="180"/>
      <c r="E801" s="180"/>
      <c r="F801" s="180"/>
      <c r="G801" s="181"/>
      <c r="H801" s="181"/>
      <c r="I801" s="181"/>
      <c r="J801" s="181"/>
      <c r="K801" s="181"/>
    </row>
    <row r="802" spans="1:12" s="45" customFormat="1" ht="17.25" customHeight="1">
      <c r="A802" s="179" t="s">
        <v>334</v>
      </c>
      <c r="B802" s="180"/>
      <c r="C802" s="180"/>
      <c r="D802" s="180"/>
      <c r="E802" s="180"/>
      <c r="F802" s="180"/>
      <c r="G802" s="181"/>
      <c r="H802" s="181"/>
      <c r="I802" s="181" t="s">
        <v>335</v>
      </c>
      <c r="J802" s="181"/>
      <c r="K802" s="181"/>
      <c r="L802" s="45" t="s">
        <v>416</v>
      </c>
    </row>
    <row r="803" spans="1:11" s="45" customFormat="1" ht="17.25" customHeight="1">
      <c r="A803" s="179"/>
      <c r="B803" s="180"/>
      <c r="C803" s="180"/>
      <c r="D803" s="180"/>
      <c r="E803" s="180"/>
      <c r="F803" s="180"/>
      <c r="G803" s="181"/>
      <c r="H803" s="181"/>
      <c r="I803" s="181"/>
      <c r="J803" s="181"/>
      <c r="K803" s="181"/>
    </row>
    <row r="804" spans="1:11" s="45" customFormat="1" ht="17.25" customHeight="1">
      <c r="A804" s="179"/>
      <c r="B804" s="180"/>
      <c r="C804" s="180"/>
      <c r="D804" s="180"/>
      <c r="E804" s="180"/>
      <c r="F804" s="180"/>
      <c r="G804" s="181"/>
      <c r="H804" s="181"/>
      <c r="I804" s="181"/>
      <c r="J804" s="181"/>
      <c r="K804" s="181"/>
    </row>
    <row r="805" spans="1:11" s="45" customFormat="1" ht="15.75">
      <c r="A805" s="179"/>
      <c r="B805" s="180"/>
      <c r="C805" s="180"/>
      <c r="D805" s="180"/>
      <c r="E805" s="180"/>
      <c r="F805" s="180"/>
      <c r="G805" s="181"/>
      <c r="H805" s="181"/>
      <c r="I805" s="181"/>
      <c r="J805" s="181"/>
      <c r="K805" s="181"/>
    </row>
    <row r="806" spans="1:11" s="45" customFormat="1" ht="15.75">
      <c r="A806" s="179" t="s">
        <v>336</v>
      </c>
      <c r="B806" s="180"/>
      <c r="C806" s="180"/>
      <c r="D806" s="180"/>
      <c r="E806" s="180"/>
      <c r="F806" s="180"/>
      <c r="G806" s="181"/>
      <c r="H806" s="181"/>
      <c r="I806" s="181" t="s">
        <v>337</v>
      </c>
      <c r="J806" s="181"/>
      <c r="K806" s="181"/>
    </row>
    <row r="807" spans="1:11" s="45" customFormat="1" ht="15.75">
      <c r="A807" s="179"/>
      <c r="B807" s="180"/>
      <c r="C807" s="180"/>
      <c r="D807" s="180"/>
      <c r="E807" s="180"/>
      <c r="F807" s="180"/>
      <c r="G807" s="181"/>
      <c r="H807" s="181"/>
      <c r="I807" s="181"/>
      <c r="J807" s="181"/>
      <c r="K807" s="181"/>
    </row>
    <row r="808" spans="1:11" s="45" customFormat="1" ht="15.75">
      <c r="A808" s="183" t="s">
        <v>338</v>
      </c>
      <c r="B808" s="180"/>
      <c r="C808" s="180"/>
      <c r="D808" s="180"/>
      <c r="E808" s="180"/>
      <c r="F808" s="180"/>
      <c r="G808" s="181"/>
      <c r="H808" s="181"/>
      <c r="I808" s="181"/>
      <c r="J808" s="181"/>
      <c r="K808" s="181"/>
    </row>
    <row r="809" spans="1:11" s="45" customFormat="1" ht="15.75">
      <c r="A809" s="179"/>
      <c r="B809" s="180"/>
      <c r="C809" s="180"/>
      <c r="D809" s="180"/>
      <c r="E809" s="180"/>
      <c r="F809" s="180"/>
      <c r="G809" s="181"/>
      <c r="H809" s="181"/>
      <c r="I809" s="181"/>
      <c r="J809" s="181"/>
      <c r="K809" s="181"/>
    </row>
    <row r="810" spans="1:11" s="45" customFormat="1" ht="15.75">
      <c r="A810" s="184" t="s">
        <v>339</v>
      </c>
      <c r="B810" s="180"/>
      <c r="C810" s="180"/>
      <c r="D810" s="180"/>
      <c r="E810" s="180"/>
      <c r="F810" s="180"/>
      <c r="G810" s="181"/>
      <c r="H810" s="181"/>
      <c r="I810" s="181"/>
      <c r="J810" s="181"/>
      <c r="K810" s="181"/>
    </row>
    <row r="811" spans="1:11" ht="12.75">
      <c r="A811" s="184" t="s">
        <v>340</v>
      </c>
      <c r="B811" s="182"/>
      <c r="C811" s="182"/>
      <c r="D811" s="182"/>
      <c r="E811" s="182"/>
      <c r="F811" s="182"/>
      <c r="G811" s="31"/>
      <c r="H811" s="31"/>
      <c r="I811" s="31"/>
      <c r="J811" s="31"/>
      <c r="K811" s="31"/>
    </row>
  </sheetData>
  <mergeCells count="9">
    <mergeCell ref="L8:L9"/>
    <mergeCell ref="M8:M9"/>
    <mergeCell ref="A4:H4"/>
    <mergeCell ref="I8:I9"/>
    <mergeCell ref="J8:J9"/>
    <mergeCell ref="K8:K9"/>
    <mergeCell ref="H8:H9"/>
    <mergeCell ref="G8:G9"/>
    <mergeCell ref="A8:F8"/>
  </mergeCells>
  <printOptions horizontalCentered="1"/>
  <pageMargins left="0.3937007874015748" right="0.24" top="0.47" bottom="0.49" header="0.17" footer="0.1968503937007874"/>
  <pageSetup horizontalDpi="600" verticalDpi="600" orientation="portrait" paperSize="9" scale="5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12"/>
  <sheetViews>
    <sheetView view="pageBreakPreview" zoomScale="99" zoomScaleNormal="99" zoomScaleSheetLayoutView="99" workbookViewId="0" topLeftCell="A1">
      <selection activeCell="A4" sqref="A4:I6"/>
    </sheetView>
  </sheetViews>
  <sheetFormatPr defaultColWidth="9.00390625" defaultRowHeight="12.75"/>
  <cols>
    <col min="1" max="1" width="45.375" style="13" customWidth="1"/>
    <col min="2" max="2" width="6.125" style="3" customWidth="1"/>
    <col min="3" max="3" width="9.00390625" style="3" customWidth="1"/>
    <col min="4" max="5" width="4.75390625" style="3" customWidth="1"/>
    <col min="6" max="6" width="10.00390625" style="3" customWidth="1"/>
    <col min="7" max="7" width="20.125" style="0" customWidth="1"/>
    <col min="8" max="8" width="18.125" style="189" customWidth="1"/>
    <col min="9" max="9" width="19.75390625" style="0" customWidth="1"/>
    <col min="10" max="10" width="14.375" style="0" customWidth="1"/>
  </cols>
  <sheetData>
    <row r="1" spans="7:10" ht="12.75">
      <c r="G1" s="18"/>
      <c r="I1" s="18" t="s">
        <v>309</v>
      </c>
      <c r="J1" s="18"/>
    </row>
    <row r="2" spans="1:10" ht="12.75">
      <c r="A2" s="169"/>
      <c r="B2" s="169"/>
      <c r="C2" s="169"/>
      <c r="D2" s="169"/>
      <c r="E2" s="169"/>
      <c r="F2" s="169"/>
      <c r="G2" s="169"/>
      <c r="I2" s="18" t="s">
        <v>405</v>
      </c>
      <c r="J2" s="18"/>
    </row>
    <row r="3" spans="1:10" ht="12.75">
      <c r="A3" s="94"/>
      <c r="B3" s="94"/>
      <c r="C3" s="94"/>
      <c r="D3" s="94"/>
      <c r="E3" s="95"/>
      <c r="F3" s="21"/>
      <c r="G3" s="21"/>
      <c r="I3" s="18" t="s">
        <v>406</v>
      </c>
      <c r="J3" s="18"/>
    </row>
    <row r="4" spans="1:8" ht="15.75">
      <c r="A4" s="283" t="s">
        <v>258</v>
      </c>
      <c r="B4" s="283"/>
      <c r="C4" s="283"/>
      <c r="D4" s="283"/>
      <c r="E4" s="283"/>
      <c r="F4" s="283"/>
      <c r="G4" s="283"/>
      <c r="H4" s="190"/>
    </row>
    <row r="5" spans="1:8" ht="15.75">
      <c r="A5" s="146" t="s">
        <v>256</v>
      </c>
      <c r="B5" s="146"/>
      <c r="C5" s="146"/>
      <c r="D5" s="146"/>
      <c r="E5" s="147"/>
      <c r="F5" s="148"/>
      <c r="G5" s="148"/>
      <c r="H5" s="190"/>
    </row>
    <row r="6" spans="1:8" ht="15.75">
      <c r="A6" s="146" t="s">
        <v>257</v>
      </c>
      <c r="B6" s="146"/>
      <c r="C6" s="146"/>
      <c r="D6" s="146"/>
      <c r="E6" s="147"/>
      <c r="F6" s="148"/>
      <c r="G6" s="148"/>
      <c r="H6" s="190"/>
    </row>
    <row r="7" spans="1:8" ht="15.75">
      <c r="A7" s="146"/>
      <c r="B7" s="146"/>
      <c r="C7" s="146"/>
      <c r="D7" s="146"/>
      <c r="E7" s="147"/>
      <c r="F7" s="148"/>
      <c r="G7" s="148"/>
      <c r="H7" s="190"/>
    </row>
    <row r="8" spans="1:10" ht="12.75" customHeight="1">
      <c r="A8" s="280" t="s">
        <v>0</v>
      </c>
      <c r="B8" s="281"/>
      <c r="C8" s="281"/>
      <c r="D8" s="281"/>
      <c r="E8" s="281"/>
      <c r="F8" s="282"/>
      <c r="G8" s="276" t="s">
        <v>410</v>
      </c>
      <c r="H8" s="288" t="s">
        <v>413</v>
      </c>
      <c r="I8" s="276" t="s">
        <v>409</v>
      </c>
      <c r="J8" s="276"/>
    </row>
    <row r="9" spans="1:10" ht="24.75" customHeight="1">
      <c r="A9" s="1" t="s">
        <v>1</v>
      </c>
      <c r="B9" s="2" t="s">
        <v>164</v>
      </c>
      <c r="C9" s="2" t="s">
        <v>165</v>
      </c>
      <c r="D9" s="2" t="s">
        <v>166</v>
      </c>
      <c r="E9" s="2" t="s">
        <v>167</v>
      </c>
      <c r="F9" s="2" t="s">
        <v>168</v>
      </c>
      <c r="G9" s="277"/>
      <c r="H9" s="289"/>
      <c r="I9" s="277"/>
      <c r="J9" s="277"/>
    </row>
    <row r="10" spans="1:10" ht="12.75">
      <c r="A10" s="47" t="s">
        <v>3</v>
      </c>
      <c r="B10" s="48" t="s">
        <v>144</v>
      </c>
      <c r="C10" s="48" t="s">
        <v>82</v>
      </c>
      <c r="D10" s="48" t="s">
        <v>2</v>
      </c>
      <c r="E10" s="48"/>
      <c r="F10" s="48"/>
      <c r="G10" s="192">
        <f>G11+G201+G267</f>
        <v>7755512</v>
      </c>
      <c r="H10" s="193">
        <f>H11+H201+H267</f>
        <v>3943402.04</v>
      </c>
      <c r="I10" s="192">
        <f>I11+I201+I267</f>
        <v>3812109.96</v>
      </c>
      <c r="J10" s="192">
        <f>J11+J201+J267</f>
        <v>0</v>
      </c>
    </row>
    <row r="11" spans="1:10" ht="25.5">
      <c r="A11" s="112" t="s">
        <v>231</v>
      </c>
      <c r="B11" s="113" t="s">
        <v>145</v>
      </c>
      <c r="C11" s="113" t="s">
        <v>232</v>
      </c>
      <c r="D11" s="113" t="s">
        <v>2</v>
      </c>
      <c r="E11" s="113"/>
      <c r="F11" s="113"/>
      <c r="G11" s="192">
        <f aca="true" t="shared" si="0" ref="G11:J12">G12</f>
        <v>187750</v>
      </c>
      <c r="H11" s="193">
        <f t="shared" si="0"/>
        <v>36557</v>
      </c>
      <c r="I11" s="192">
        <f t="shared" si="0"/>
        <v>151193</v>
      </c>
      <c r="J11" s="192">
        <f t="shared" si="0"/>
        <v>0</v>
      </c>
    </row>
    <row r="12" spans="1:10" ht="25.5">
      <c r="A12" s="8" t="s">
        <v>171</v>
      </c>
      <c r="B12" s="4" t="s">
        <v>145</v>
      </c>
      <c r="C12" s="4" t="s">
        <v>232</v>
      </c>
      <c r="D12" s="4" t="s">
        <v>2</v>
      </c>
      <c r="E12" s="4"/>
      <c r="F12" s="4"/>
      <c r="G12" s="194">
        <f t="shared" si="0"/>
        <v>187750</v>
      </c>
      <c r="H12" s="193">
        <f t="shared" si="0"/>
        <v>36557</v>
      </c>
      <c r="I12" s="194">
        <f t="shared" si="0"/>
        <v>151193</v>
      </c>
      <c r="J12" s="194">
        <f t="shared" si="0"/>
        <v>0</v>
      </c>
    </row>
    <row r="13" spans="1:10" ht="12.75">
      <c r="A13" s="10" t="s">
        <v>174</v>
      </c>
      <c r="B13" s="14" t="s">
        <v>145</v>
      </c>
      <c r="C13" s="14" t="s">
        <v>232</v>
      </c>
      <c r="D13" s="14" t="s">
        <v>175</v>
      </c>
      <c r="E13" s="14" t="s">
        <v>2</v>
      </c>
      <c r="F13" s="14"/>
      <c r="G13" s="195">
        <f>G14+G166+G191+G189</f>
        <v>187750</v>
      </c>
      <c r="H13" s="196">
        <f>H14+H166+H191+H189</f>
        <v>36557</v>
      </c>
      <c r="I13" s="195">
        <f>I14+I166+I191+I189</f>
        <v>151193</v>
      </c>
      <c r="J13" s="195">
        <f>J14+J166+J191+J189</f>
        <v>0</v>
      </c>
    </row>
    <row r="14" spans="1:10" ht="12.75">
      <c r="A14" s="10" t="s">
        <v>4</v>
      </c>
      <c r="B14" s="14" t="s">
        <v>145</v>
      </c>
      <c r="C14" s="14" t="s">
        <v>232</v>
      </c>
      <c r="D14" s="14" t="s">
        <v>175</v>
      </c>
      <c r="E14" s="14" t="s">
        <v>5</v>
      </c>
      <c r="F14" s="14"/>
      <c r="G14" s="197">
        <f>G15+G16+G165</f>
        <v>0</v>
      </c>
      <c r="H14" s="198">
        <f>H15+H16+H165</f>
        <v>0</v>
      </c>
      <c r="I14" s="197">
        <f>I15+I16+I165</f>
        <v>0</v>
      </c>
      <c r="J14" s="197">
        <f>J15+J16+J165</f>
        <v>0</v>
      </c>
    </row>
    <row r="15" spans="1:10" ht="12.75">
      <c r="A15" s="19" t="s">
        <v>6</v>
      </c>
      <c r="B15" s="20" t="s">
        <v>145</v>
      </c>
      <c r="C15" s="20" t="s">
        <v>232</v>
      </c>
      <c r="D15" s="20" t="s">
        <v>175</v>
      </c>
      <c r="E15" s="20" t="s">
        <v>7</v>
      </c>
      <c r="F15" s="20" t="s">
        <v>369</v>
      </c>
      <c r="G15" s="194"/>
      <c r="H15" s="199"/>
      <c r="I15" s="200"/>
      <c r="J15" s="200"/>
    </row>
    <row r="16" spans="1:10" ht="12.75">
      <c r="A16" s="8" t="s">
        <v>233</v>
      </c>
      <c r="B16" s="20" t="s">
        <v>145</v>
      </c>
      <c r="C16" s="20" t="s">
        <v>232</v>
      </c>
      <c r="D16" s="20" t="s">
        <v>175</v>
      </c>
      <c r="E16" s="4" t="s">
        <v>9</v>
      </c>
      <c r="F16" s="4"/>
      <c r="G16" s="201">
        <f>G162+G163+G164</f>
        <v>0</v>
      </c>
      <c r="H16" s="202">
        <f>H162+H163+H164</f>
        <v>0</v>
      </c>
      <c r="I16" s="201">
        <f>I162+I163+I164</f>
        <v>0</v>
      </c>
      <c r="J16" s="201">
        <f>J162+J163+J164</f>
        <v>0</v>
      </c>
    </row>
    <row r="17" spans="1:10" s="78" customFormat="1" ht="38.25" customHeight="1" hidden="1">
      <c r="A17" s="47" t="s">
        <v>169</v>
      </c>
      <c r="B17" s="48" t="s">
        <v>170</v>
      </c>
      <c r="C17" s="48" t="s">
        <v>88</v>
      </c>
      <c r="D17" s="48" t="s">
        <v>2</v>
      </c>
      <c r="E17" s="48" t="s">
        <v>2</v>
      </c>
      <c r="F17" s="48"/>
      <c r="G17" s="194"/>
      <c r="H17" s="199"/>
      <c r="I17" s="203"/>
      <c r="J17" s="203"/>
    </row>
    <row r="18" spans="1:10" s="78" customFormat="1" ht="25.5" customHeight="1" hidden="1">
      <c r="A18" s="79" t="s">
        <v>171</v>
      </c>
      <c r="B18" s="80" t="s">
        <v>170</v>
      </c>
      <c r="C18" s="80" t="s">
        <v>82</v>
      </c>
      <c r="D18" s="80" t="s">
        <v>2</v>
      </c>
      <c r="E18" s="80" t="s">
        <v>2</v>
      </c>
      <c r="F18" s="48"/>
      <c r="G18" s="194"/>
      <c r="H18" s="199"/>
      <c r="I18" s="203"/>
      <c r="J18" s="203"/>
    </row>
    <row r="19" spans="1:10" s="83" customFormat="1" ht="25.5" customHeight="1" hidden="1">
      <c r="A19" s="81" t="s">
        <v>172</v>
      </c>
      <c r="B19" s="82" t="s">
        <v>170</v>
      </c>
      <c r="C19" s="82" t="s">
        <v>82</v>
      </c>
      <c r="D19" s="82" t="s">
        <v>173</v>
      </c>
      <c r="E19" s="82" t="s">
        <v>2</v>
      </c>
      <c r="F19" s="82"/>
      <c r="G19" s="204"/>
      <c r="H19" s="205"/>
      <c r="I19" s="206"/>
      <c r="J19" s="206"/>
    </row>
    <row r="20" spans="1:10" s="72" customFormat="1" ht="12.75" customHeight="1" hidden="1">
      <c r="A20" s="43" t="s">
        <v>4</v>
      </c>
      <c r="B20" s="44"/>
      <c r="C20" s="44"/>
      <c r="D20" s="44"/>
      <c r="E20" s="44" t="s">
        <v>5</v>
      </c>
      <c r="F20" s="44"/>
      <c r="G20" s="204"/>
      <c r="H20" s="198"/>
      <c r="I20" s="207"/>
      <c r="J20" s="207"/>
    </row>
    <row r="21" spans="1:10" s="92" customFormat="1" ht="12.75" customHeight="1" hidden="1">
      <c r="A21" s="87" t="s">
        <v>6</v>
      </c>
      <c r="B21" s="27"/>
      <c r="C21" s="27"/>
      <c r="D21" s="27"/>
      <c r="E21" s="27" t="s">
        <v>7</v>
      </c>
      <c r="F21" s="27"/>
      <c r="G21" s="208"/>
      <c r="H21" s="202"/>
      <c r="I21" s="209"/>
      <c r="J21" s="209"/>
    </row>
    <row r="22" spans="1:10" s="92" customFormat="1" ht="12.75" customHeight="1" hidden="1">
      <c r="A22" s="87" t="s">
        <v>13</v>
      </c>
      <c r="B22" s="27"/>
      <c r="C22" s="27"/>
      <c r="D22" s="27"/>
      <c r="E22" s="27" t="s">
        <v>14</v>
      </c>
      <c r="F22" s="27"/>
      <c r="G22" s="208"/>
      <c r="H22" s="202"/>
      <c r="I22" s="209"/>
      <c r="J22" s="209"/>
    </row>
    <row r="23" spans="1:10" s="31" customFormat="1" ht="12.75" customHeight="1" hidden="1">
      <c r="A23" s="47" t="s">
        <v>174</v>
      </c>
      <c r="B23" s="48" t="s">
        <v>170</v>
      </c>
      <c r="C23" s="48" t="s">
        <v>82</v>
      </c>
      <c r="D23" s="48" t="s">
        <v>175</v>
      </c>
      <c r="E23" s="48" t="s">
        <v>2</v>
      </c>
      <c r="F23" s="48"/>
      <c r="G23" s="208"/>
      <c r="H23" s="199"/>
      <c r="I23" s="210"/>
      <c r="J23" s="210"/>
    </row>
    <row r="24" spans="1:10" s="31" customFormat="1" ht="15" customHeight="1" hidden="1">
      <c r="A24" s="10" t="s">
        <v>4</v>
      </c>
      <c r="B24" s="25" t="s">
        <v>170</v>
      </c>
      <c r="C24" s="25" t="s">
        <v>82</v>
      </c>
      <c r="D24" s="25" t="s">
        <v>175</v>
      </c>
      <c r="E24" s="14" t="s">
        <v>5</v>
      </c>
      <c r="F24" s="14"/>
      <c r="G24" s="208"/>
      <c r="H24" s="199"/>
      <c r="I24" s="210"/>
      <c r="J24" s="210"/>
    </row>
    <row r="25" spans="1:10" s="92" customFormat="1" ht="12.75" customHeight="1" hidden="1">
      <c r="A25" s="87" t="s">
        <v>6</v>
      </c>
      <c r="B25" s="89" t="s">
        <v>170</v>
      </c>
      <c r="C25" s="89" t="s">
        <v>82</v>
      </c>
      <c r="D25" s="89" t="s">
        <v>175</v>
      </c>
      <c r="E25" s="27" t="s">
        <v>7</v>
      </c>
      <c r="F25" s="27"/>
      <c r="G25" s="208"/>
      <c r="H25" s="202"/>
      <c r="I25" s="209"/>
      <c r="J25" s="209"/>
    </row>
    <row r="26" spans="1:10" s="92" customFormat="1" ht="12.75" customHeight="1" hidden="1">
      <c r="A26" s="87" t="s">
        <v>8</v>
      </c>
      <c r="B26" s="89" t="s">
        <v>170</v>
      </c>
      <c r="C26" s="89" t="s">
        <v>82</v>
      </c>
      <c r="D26" s="89" t="s">
        <v>175</v>
      </c>
      <c r="E26" s="27" t="s">
        <v>9</v>
      </c>
      <c r="F26" s="27"/>
      <c r="G26" s="204"/>
      <c r="H26" s="202"/>
      <c r="I26" s="209"/>
      <c r="J26" s="209"/>
    </row>
    <row r="27" spans="1:10" s="31" customFormat="1" ht="25.5" customHeight="1" hidden="1">
      <c r="A27" s="11" t="s">
        <v>10</v>
      </c>
      <c r="B27" s="91"/>
      <c r="C27" s="91"/>
      <c r="D27" s="91"/>
      <c r="E27" s="4"/>
      <c r="F27" s="4" t="s">
        <v>183</v>
      </c>
      <c r="G27" s="194"/>
      <c r="H27" s="199"/>
      <c r="I27" s="210"/>
      <c r="J27" s="210"/>
    </row>
    <row r="28" spans="1:10" s="31" customFormat="1" ht="12.75" customHeight="1" hidden="1">
      <c r="A28" s="12" t="s">
        <v>11</v>
      </c>
      <c r="B28" s="91"/>
      <c r="C28" s="91"/>
      <c r="D28" s="91"/>
      <c r="E28" s="4"/>
      <c r="F28" s="4"/>
      <c r="G28" s="204"/>
      <c r="H28" s="199"/>
      <c r="I28" s="210"/>
      <c r="J28" s="210"/>
    </row>
    <row r="29" spans="1:10" s="31" customFormat="1" ht="25.5" customHeight="1" hidden="1">
      <c r="A29" s="6" t="s">
        <v>12</v>
      </c>
      <c r="B29" s="91"/>
      <c r="C29" s="91"/>
      <c r="D29" s="91"/>
      <c r="E29" s="4"/>
      <c r="F29" s="4" t="s">
        <v>184</v>
      </c>
      <c r="G29" s="204"/>
      <c r="H29" s="199"/>
      <c r="I29" s="210"/>
      <c r="J29" s="210"/>
    </row>
    <row r="30" spans="1:10" s="92" customFormat="1" ht="12.75" customHeight="1" hidden="1">
      <c r="A30" s="87" t="s">
        <v>13</v>
      </c>
      <c r="B30" s="89" t="s">
        <v>170</v>
      </c>
      <c r="C30" s="89" t="s">
        <v>82</v>
      </c>
      <c r="D30" s="89" t="s">
        <v>175</v>
      </c>
      <c r="E30" s="27" t="s">
        <v>14</v>
      </c>
      <c r="F30" s="27"/>
      <c r="G30" s="208"/>
      <c r="H30" s="202"/>
      <c r="I30" s="209"/>
      <c r="J30" s="209"/>
    </row>
    <row r="31" spans="1:10" s="72" customFormat="1" ht="12.75" customHeight="1" hidden="1">
      <c r="A31" s="43" t="s">
        <v>15</v>
      </c>
      <c r="B31" s="70" t="s">
        <v>170</v>
      </c>
      <c r="C31" s="70" t="s">
        <v>82</v>
      </c>
      <c r="D31" s="70" t="s">
        <v>175</v>
      </c>
      <c r="E31" s="44" t="s">
        <v>16</v>
      </c>
      <c r="F31" s="44"/>
      <c r="G31" s="208"/>
      <c r="H31" s="198"/>
      <c r="I31" s="207"/>
      <c r="J31" s="207"/>
    </row>
    <row r="32" spans="1:10" s="92" customFormat="1" ht="12.75" customHeight="1" hidden="1">
      <c r="A32" s="87" t="s">
        <v>17</v>
      </c>
      <c r="B32" s="89" t="s">
        <v>170</v>
      </c>
      <c r="C32" s="89" t="s">
        <v>82</v>
      </c>
      <c r="D32" s="89" t="s">
        <v>175</v>
      </c>
      <c r="E32" s="27" t="s">
        <v>18</v>
      </c>
      <c r="F32" s="27"/>
      <c r="G32" s="204">
        <f>SUM(G33:G35)</f>
        <v>0</v>
      </c>
      <c r="H32" s="202"/>
      <c r="I32" s="209"/>
      <c r="J32" s="209"/>
    </row>
    <row r="33" spans="1:10" s="92" customFormat="1" ht="12.75" customHeight="1" hidden="1">
      <c r="A33" s="87" t="s">
        <v>21</v>
      </c>
      <c r="B33" s="89" t="s">
        <v>170</v>
      </c>
      <c r="C33" s="89" t="s">
        <v>82</v>
      </c>
      <c r="D33" s="89" t="s">
        <v>175</v>
      </c>
      <c r="E33" s="27" t="s">
        <v>19</v>
      </c>
      <c r="F33" s="27"/>
      <c r="G33" s="208"/>
      <c r="H33" s="202"/>
      <c r="I33" s="209"/>
      <c r="J33" s="209"/>
    </row>
    <row r="34" spans="1:10" s="31" customFormat="1" ht="25.5" customHeight="1" hidden="1">
      <c r="A34" s="11" t="s">
        <v>20</v>
      </c>
      <c r="B34" s="91"/>
      <c r="C34" s="91"/>
      <c r="D34" s="91"/>
      <c r="E34" s="4"/>
      <c r="F34" s="4" t="s">
        <v>183</v>
      </c>
      <c r="G34" s="208"/>
      <c r="H34" s="199"/>
      <c r="I34" s="210"/>
      <c r="J34" s="210"/>
    </row>
    <row r="35" spans="1:10" s="31" customFormat="1" ht="38.25" customHeight="1" hidden="1">
      <c r="A35" s="8" t="s">
        <v>22</v>
      </c>
      <c r="B35" s="91"/>
      <c r="C35" s="91"/>
      <c r="D35" s="91"/>
      <c r="E35" s="4"/>
      <c r="F35" s="4" t="s">
        <v>185</v>
      </c>
      <c r="G35" s="208"/>
      <c r="H35" s="199"/>
      <c r="I35" s="210"/>
      <c r="J35" s="210"/>
    </row>
    <row r="36" spans="1:10" s="92" customFormat="1" ht="12.75" customHeight="1" hidden="1">
      <c r="A36" s="87" t="s">
        <v>23</v>
      </c>
      <c r="B36" s="89" t="s">
        <v>170</v>
      </c>
      <c r="C36" s="89" t="s">
        <v>82</v>
      </c>
      <c r="D36" s="89" t="s">
        <v>175</v>
      </c>
      <c r="E36" s="27" t="s">
        <v>24</v>
      </c>
      <c r="F36" s="27"/>
      <c r="G36" s="204"/>
      <c r="H36" s="202"/>
      <c r="I36" s="209"/>
      <c r="J36" s="209"/>
    </row>
    <row r="37" spans="1:10" s="31" customFormat="1" ht="25.5" customHeight="1" hidden="1">
      <c r="A37" s="7" t="s">
        <v>25</v>
      </c>
      <c r="B37" s="91"/>
      <c r="C37" s="91"/>
      <c r="D37" s="91"/>
      <c r="E37" s="4"/>
      <c r="F37" s="4" t="s">
        <v>186</v>
      </c>
      <c r="G37" s="204">
        <f>SUM(G38:G43)</f>
        <v>0</v>
      </c>
      <c r="H37" s="199"/>
      <c r="I37" s="210"/>
      <c r="J37" s="210"/>
    </row>
    <row r="38" spans="1:10" s="31" customFormat="1" ht="25.5" customHeight="1" hidden="1">
      <c r="A38" s="7" t="s">
        <v>26</v>
      </c>
      <c r="B38" s="91"/>
      <c r="C38" s="91"/>
      <c r="D38" s="91"/>
      <c r="E38" s="4"/>
      <c r="F38" s="4" t="s">
        <v>187</v>
      </c>
      <c r="G38" s="204"/>
      <c r="H38" s="199"/>
      <c r="I38" s="210"/>
      <c r="J38" s="210"/>
    </row>
    <row r="39" spans="1:10" s="31" customFormat="1" ht="12.75" customHeight="1" hidden="1">
      <c r="A39" s="7" t="s">
        <v>27</v>
      </c>
      <c r="B39" s="91"/>
      <c r="C39" s="91"/>
      <c r="D39" s="91"/>
      <c r="E39" s="4"/>
      <c r="F39" s="4" t="s">
        <v>188</v>
      </c>
      <c r="G39" s="204"/>
      <c r="H39" s="199"/>
      <c r="I39" s="210"/>
      <c r="J39" s="210"/>
    </row>
    <row r="40" spans="1:10" s="92" customFormat="1" ht="12.75" customHeight="1" hidden="1">
      <c r="A40" s="87" t="s">
        <v>28</v>
      </c>
      <c r="B40" s="89" t="s">
        <v>170</v>
      </c>
      <c r="C40" s="89" t="s">
        <v>82</v>
      </c>
      <c r="D40" s="89" t="s">
        <v>175</v>
      </c>
      <c r="E40" s="27" t="s">
        <v>29</v>
      </c>
      <c r="F40" s="27"/>
      <c r="G40" s="204"/>
      <c r="H40" s="202"/>
      <c r="I40" s="209"/>
      <c r="J40" s="209"/>
    </row>
    <row r="41" spans="1:10" s="92" customFormat="1" ht="12.75" customHeight="1" hidden="1">
      <c r="A41" s="87" t="s">
        <v>30</v>
      </c>
      <c r="B41" s="89" t="s">
        <v>170</v>
      </c>
      <c r="C41" s="89" t="s">
        <v>82</v>
      </c>
      <c r="D41" s="89" t="s">
        <v>175</v>
      </c>
      <c r="E41" s="27" t="s">
        <v>31</v>
      </c>
      <c r="F41" s="27"/>
      <c r="G41" s="204"/>
      <c r="H41" s="202"/>
      <c r="I41" s="209"/>
      <c r="J41" s="209"/>
    </row>
    <row r="42" spans="1:10" s="31" customFormat="1" ht="12.75" customHeight="1" hidden="1">
      <c r="A42" s="7" t="s">
        <v>32</v>
      </c>
      <c r="B42" s="91"/>
      <c r="C42" s="91"/>
      <c r="D42" s="91"/>
      <c r="E42" s="17"/>
      <c r="F42" s="17" t="s">
        <v>189</v>
      </c>
      <c r="G42" s="204"/>
      <c r="H42" s="199"/>
      <c r="I42" s="210"/>
      <c r="J42" s="210"/>
    </row>
    <row r="43" spans="1:10" s="31" customFormat="1" ht="12.75" customHeight="1" hidden="1">
      <c r="A43" s="7" t="s">
        <v>33</v>
      </c>
      <c r="B43" s="91"/>
      <c r="C43" s="91"/>
      <c r="D43" s="91"/>
      <c r="E43" s="17"/>
      <c r="F43" s="17" t="s">
        <v>191</v>
      </c>
      <c r="G43" s="100"/>
      <c r="H43" s="199"/>
      <c r="I43" s="210"/>
      <c r="J43" s="210"/>
    </row>
    <row r="44" spans="1:10" s="31" customFormat="1" ht="25.5" customHeight="1" hidden="1">
      <c r="A44" s="7" t="s">
        <v>34</v>
      </c>
      <c r="B44" s="91"/>
      <c r="C44" s="91"/>
      <c r="D44" s="91"/>
      <c r="E44" s="17"/>
      <c r="F44" s="17" t="s">
        <v>221</v>
      </c>
      <c r="G44" s="204"/>
      <c r="H44" s="199"/>
      <c r="I44" s="210"/>
      <c r="J44" s="210"/>
    </row>
    <row r="45" spans="1:10" s="31" customFormat="1" ht="25.5" customHeight="1" hidden="1">
      <c r="A45" s="7" t="s">
        <v>35</v>
      </c>
      <c r="B45" s="91"/>
      <c r="C45" s="91"/>
      <c r="D45" s="91"/>
      <c r="E45" s="17"/>
      <c r="F45" s="17" t="s">
        <v>190</v>
      </c>
      <c r="G45" s="100"/>
      <c r="H45" s="199"/>
      <c r="I45" s="210"/>
      <c r="J45" s="210"/>
    </row>
    <row r="46" spans="1:10" s="31" customFormat="1" ht="51" customHeight="1" hidden="1">
      <c r="A46" s="7" t="s">
        <v>36</v>
      </c>
      <c r="B46" s="91"/>
      <c r="C46" s="91"/>
      <c r="D46" s="91"/>
      <c r="E46" s="17"/>
      <c r="F46" s="17" t="s">
        <v>224</v>
      </c>
      <c r="G46" s="100"/>
      <c r="H46" s="199"/>
      <c r="I46" s="210"/>
      <c r="J46" s="210"/>
    </row>
    <row r="47" spans="1:10" s="92" customFormat="1" ht="12.75" customHeight="1" hidden="1">
      <c r="A47" s="87" t="s">
        <v>37</v>
      </c>
      <c r="B47" s="89" t="s">
        <v>170</v>
      </c>
      <c r="C47" s="89" t="s">
        <v>82</v>
      </c>
      <c r="D47" s="89" t="s">
        <v>175</v>
      </c>
      <c r="E47" s="27" t="s">
        <v>38</v>
      </c>
      <c r="F47" s="27"/>
      <c r="G47" s="204"/>
      <c r="H47" s="202"/>
      <c r="I47" s="209"/>
      <c r="J47" s="209"/>
    </row>
    <row r="48" spans="1:10" s="31" customFormat="1" ht="38.25" customHeight="1" hidden="1">
      <c r="A48" s="11" t="s">
        <v>39</v>
      </c>
      <c r="B48" s="91"/>
      <c r="C48" s="91"/>
      <c r="D48" s="91"/>
      <c r="E48" s="20"/>
      <c r="F48" s="20" t="s">
        <v>183</v>
      </c>
      <c r="G48" s="194">
        <f>SUM(G49)</f>
        <v>0</v>
      </c>
      <c r="H48" s="199"/>
      <c r="I48" s="210"/>
      <c r="J48" s="210"/>
    </row>
    <row r="49" spans="1:10" s="31" customFormat="1" ht="38.25" customHeight="1" hidden="1">
      <c r="A49" s="19" t="s">
        <v>40</v>
      </c>
      <c r="B49" s="91"/>
      <c r="C49" s="91"/>
      <c r="D49" s="91"/>
      <c r="E49" s="20"/>
      <c r="F49" s="20" t="s">
        <v>222</v>
      </c>
      <c r="G49" s="204"/>
      <c r="H49" s="199"/>
      <c r="I49" s="210"/>
      <c r="J49" s="210"/>
    </row>
    <row r="50" spans="1:10" s="31" customFormat="1" ht="25.5" customHeight="1" hidden="1">
      <c r="A50" s="12" t="s">
        <v>41</v>
      </c>
      <c r="B50" s="91"/>
      <c r="C50" s="91"/>
      <c r="D50" s="91"/>
      <c r="E50" s="20"/>
      <c r="F50" s="20" t="s">
        <v>192</v>
      </c>
      <c r="G50" s="100"/>
      <c r="H50" s="199"/>
      <c r="I50" s="210"/>
      <c r="J50" s="210"/>
    </row>
    <row r="51" spans="1:10" s="72" customFormat="1" ht="12.75" customHeight="1" hidden="1">
      <c r="A51" s="43" t="s">
        <v>42</v>
      </c>
      <c r="B51" s="70" t="s">
        <v>170</v>
      </c>
      <c r="C51" s="70" t="s">
        <v>82</v>
      </c>
      <c r="D51" s="70" t="s">
        <v>175</v>
      </c>
      <c r="E51" s="44" t="s">
        <v>43</v>
      </c>
      <c r="F51" s="44"/>
      <c r="G51" s="194">
        <f>SUM(G52:G52)</f>
        <v>0</v>
      </c>
      <c r="H51" s="198"/>
      <c r="I51" s="207"/>
      <c r="J51" s="207"/>
    </row>
    <row r="52" spans="1:10" s="92" customFormat="1" ht="12.75" customHeight="1" hidden="1">
      <c r="A52" s="87" t="s">
        <v>44</v>
      </c>
      <c r="B52" s="89" t="s">
        <v>170</v>
      </c>
      <c r="C52" s="89" t="s">
        <v>82</v>
      </c>
      <c r="D52" s="89" t="s">
        <v>175</v>
      </c>
      <c r="E52" s="27" t="s">
        <v>45</v>
      </c>
      <c r="F52" s="27"/>
      <c r="G52" s="100"/>
      <c r="H52" s="202"/>
      <c r="I52" s="209"/>
      <c r="J52" s="209"/>
    </row>
    <row r="53" spans="1:10" s="31" customFormat="1" ht="12.75" customHeight="1" hidden="1">
      <c r="A53" s="6" t="s">
        <v>46</v>
      </c>
      <c r="B53" s="91"/>
      <c r="C53" s="91"/>
      <c r="D53" s="91"/>
      <c r="E53" s="20"/>
      <c r="F53" s="20"/>
      <c r="G53" s="194">
        <f>SUM(G54,G58)</f>
        <v>0</v>
      </c>
      <c r="H53" s="199"/>
      <c r="I53" s="210"/>
      <c r="J53" s="210"/>
    </row>
    <row r="54" spans="1:10" s="72" customFormat="1" ht="12.75" customHeight="1" hidden="1">
      <c r="A54" s="43" t="s">
        <v>47</v>
      </c>
      <c r="B54" s="70" t="s">
        <v>170</v>
      </c>
      <c r="C54" s="70" t="s">
        <v>82</v>
      </c>
      <c r="D54" s="70" t="s">
        <v>175</v>
      </c>
      <c r="E54" s="44" t="s">
        <v>48</v>
      </c>
      <c r="F54" s="44"/>
      <c r="G54" s="204">
        <f>SUM(G55:G57)</f>
        <v>0</v>
      </c>
      <c r="H54" s="198"/>
      <c r="I54" s="207"/>
      <c r="J54" s="207"/>
    </row>
    <row r="55" spans="1:10" s="31" customFormat="1" ht="25.5" customHeight="1" hidden="1">
      <c r="A55" s="12" t="s">
        <v>41</v>
      </c>
      <c r="B55" s="91"/>
      <c r="C55" s="91"/>
      <c r="D55" s="91"/>
      <c r="E55" s="20"/>
      <c r="F55" s="20"/>
      <c r="G55" s="100"/>
      <c r="H55" s="199"/>
      <c r="I55" s="210"/>
      <c r="J55" s="210"/>
    </row>
    <row r="56" spans="1:10" s="72" customFormat="1" ht="12.75" customHeight="1" hidden="1">
      <c r="A56" s="43" t="s">
        <v>49</v>
      </c>
      <c r="B56" s="70" t="s">
        <v>170</v>
      </c>
      <c r="C56" s="70" t="s">
        <v>82</v>
      </c>
      <c r="D56" s="70" t="s">
        <v>175</v>
      </c>
      <c r="E56" s="44" t="s">
        <v>50</v>
      </c>
      <c r="F56" s="44"/>
      <c r="G56" s="100"/>
      <c r="H56" s="198"/>
      <c r="I56" s="207"/>
      <c r="J56" s="207"/>
    </row>
    <row r="57" spans="1:10" s="92" customFormat="1" ht="12.75" customHeight="1" hidden="1">
      <c r="A57" s="87" t="s">
        <v>51</v>
      </c>
      <c r="B57" s="89" t="s">
        <v>170</v>
      </c>
      <c r="C57" s="89" t="s">
        <v>82</v>
      </c>
      <c r="D57" s="89" t="s">
        <v>175</v>
      </c>
      <c r="E57" s="27" t="s">
        <v>52</v>
      </c>
      <c r="F57" s="27"/>
      <c r="G57" s="100"/>
      <c r="H57" s="202"/>
      <c r="I57" s="209"/>
      <c r="J57" s="209"/>
    </row>
    <row r="58" spans="1:10" s="31" customFormat="1" ht="12.75" customHeight="1" hidden="1">
      <c r="A58" s="7" t="s">
        <v>53</v>
      </c>
      <c r="B58" s="91"/>
      <c r="C58" s="91"/>
      <c r="D58" s="91"/>
      <c r="E58" s="20"/>
      <c r="F58" s="20" t="s">
        <v>223</v>
      </c>
      <c r="G58" s="204"/>
      <c r="H58" s="199"/>
      <c r="I58" s="210"/>
      <c r="J58" s="210"/>
    </row>
    <row r="59" spans="1:10" s="31" customFormat="1" ht="51" customHeight="1" hidden="1">
      <c r="A59" s="7" t="s">
        <v>54</v>
      </c>
      <c r="B59" s="91"/>
      <c r="C59" s="91"/>
      <c r="D59" s="91"/>
      <c r="E59" s="20"/>
      <c r="F59" s="20" t="s">
        <v>194</v>
      </c>
      <c r="G59" s="100"/>
      <c r="H59" s="199"/>
      <c r="I59" s="210"/>
      <c r="J59" s="210"/>
    </row>
    <row r="60" spans="1:10" s="31" customFormat="1" ht="63.75" customHeight="1" hidden="1">
      <c r="A60" s="7" t="s">
        <v>55</v>
      </c>
      <c r="B60" s="91"/>
      <c r="C60" s="91"/>
      <c r="D60" s="91"/>
      <c r="E60" s="20"/>
      <c r="F60" s="20" t="s">
        <v>193</v>
      </c>
      <c r="G60" s="100"/>
      <c r="H60" s="199"/>
      <c r="I60" s="210"/>
      <c r="J60" s="210"/>
    </row>
    <row r="61" spans="1:10" s="92" customFormat="1" ht="12.75" customHeight="1" hidden="1">
      <c r="A61" s="87" t="s">
        <v>56</v>
      </c>
      <c r="B61" s="89" t="s">
        <v>170</v>
      </c>
      <c r="C61" s="89" t="s">
        <v>82</v>
      </c>
      <c r="D61" s="89" t="s">
        <v>175</v>
      </c>
      <c r="E61" s="27" t="s">
        <v>57</v>
      </c>
      <c r="F61" s="27"/>
      <c r="G61" s="100"/>
      <c r="H61" s="202"/>
      <c r="I61" s="209"/>
      <c r="J61" s="209"/>
    </row>
    <row r="62" spans="1:10" s="31" customFormat="1" ht="25.5" customHeight="1" hidden="1">
      <c r="A62" s="7" t="s">
        <v>58</v>
      </c>
      <c r="B62" s="91"/>
      <c r="C62" s="91"/>
      <c r="D62" s="91"/>
      <c r="E62" s="20"/>
      <c r="F62" s="20" t="s">
        <v>195</v>
      </c>
      <c r="G62" s="100"/>
      <c r="H62" s="199"/>
      <c r="I62" s="210"/>
      <c r="J62" s="210"/>
    </row>
    <row r="63" spans="1:10" s="31" customFormat="1" ht="12.75" customHeight="1" hidden="1">
      <c r="A63" s="7" t="s">
        <v>59</v>
      </c>
      <c r="B63" s="91"/>
      <c r="C63" s="91"/>
      <c r="D63" s="91"/>
      <c r="E63" s="20"/>
      <c r="F63" s="20" t="s">
        <v>196</v>
      </c>
      <c r="G63" s="193">
        <f>G65</f>
        <v>0</v>
      </c>
      <c r="H63" s="199"/>
      <c r="I63" s="210"/>
      <c r="J63" s="210"/>
    </row>
    <row r="64" spans="1:10" s="31" customFormat="1" ht="12.75" customHeight="1" hidden="1">
      <c r="A64" s="7" t="s">
        <v>60</v>
      </c>
      <c r="B64" s="91"/>
      <c r="C64" s="91"/>
      <c r="D64" s="91"/>
      <c r="E64" s="20"/>
      <c r="F64" s="20" t="s">
        <v>197</v>
      </c>
      <c r="G64" s="100"/>
      <c r="H64" s="199"/>
      <c r="I64" s="210"/>
      <c r="J64" s="210"/>
    </row>
    <row r="65" spans="1:10" s="31" customFormat="1" ht="38.25" customHeight="1" hidden="1">
      <c r="A65" s="7" t="s">
        <v>61</v>
      </c>
      <c r="B65" s="91"/>
      <c r="C65" s="91"/>
      <c r="D65" s="91"/>
      <c r="E65" s="20"/>
      <c r="F65" s="20" t="s">
        <v>198</v>
      </c>
      <c r="G65" s="100"/>
      <c r="H65" s="199"/>
      <c r="I65" s="210"/>
      <c r="J65" s="210"/>
    </row>
    <row r="66" spans="1:10" s="15" customFormat="1" ht="15" customHeight="1" hidden="1">
      <c r="A66" s="49" t="s">
        <v>176</v>
      </c>
      <c r="B66" s="48" t="s">
        <v>170</v>
      </c>
      <c r="C66" s="48" t="s">
        <v>82</v>
      </c>
      <c r="D66" s="48" t="s">
        <v>175</v>
      </c>
      <c r="E66" s="48" t="s">
        <v>2</v>
      </c>
      <c r="F66" s="48"/>
      <c r="G66" s="100"/>
      <c r="H66" s="196"/>
      <c r="I66" s="211"/>
      <c r="J66" s="211"/>
    </row>
    <row r="67" spans="1:10" s="45" customFormat="1" ht="13.5" customHeight="1" hidden="1">
      <c r="A67" s="43" t="s">
        <v>4</v>
      </c>
      <c r="B67" s="44" t="s">
        <v>170</v>
      </c>
      <c r="C67" s="44" t="s">
        <v>182</v>
      </c>
      <c r="D67" s="44" t="s">
        <v>175</v>
      </c>
      <c r="E67" s="44" t="s">
        <v>5</v>
      </c>
      <c r="F67" s="44"/>
      <c r="G67" s="100"/>
      <c r="H67" s="198"/>
      <c r="I67" s="197"/>
      <c r="J67" s="197"/>
    </row>
    <row r="68" spans="1:10" s="28" customFormat="1" ht="12.75" hidden="1">
      <c r="A68" s="87" t="s">
        <v>6</v>
      </c>
      <c r="B68" s="27" t="s">
        <v>170</v>
      </c>
      <c r="C68" s="27" t="s">
        <v>182</v>
      </c>
      <c r="D68" s="27" t="s">
        <v>175</v>
      </c>
      <c r="E68" s="27" t="s">
        <v>7</v>
      </c>
      <c r="F68" s="27"/>
      <c r="G68" s="201"/>
      <c r="H68" s="202"/>
      <c r="I68" s="201"/>
      <c r="J68" s="201"/>
    </row>
    <row r="69" spans="1:10" s="28" customFormat="1" ht="12.75" hidden="1">
      <c r="A69" s="87" t="s">
        <v>8</v>
      </c>
      <c r="B69" s="27" t="s">
        <v>170</v>
      </c>
      <c r="C69" s="27" t="s">
        <v>182</v>
      </c>
      <c r="D69" s="27" t="s">
        <v>175</v>
      </c>
      <c r="E69" s="27" t="s">
        <v>9</v>
      </c>
      <c r="F69" s="27"/>
      <c r="G69" s="201"/>
      <c r="H69" s="202"/>
      <c r="I69" s="201"/>
      <c r="J69" s="201"/>
    </row>
    <row r="70" spans="1:10" ht="25.5" hidden="1">
      <c r="A70" s="11" t="s">
        <v>10</v>
      </c>
      <c r="B70" s="4"/>
      <c r="C70" s="4"/>
      <c r="D70" s="4"/>
      <c r="E70" s="4"/>
      <c r="F70" s="4" t="s">
        <v>183</v>
      </c>
      <c r="G70" s="200"/>
      <c r="H70" s="199"/>
      <c r="I70" s="200"/>
      <c r="J70" s="200"/>
    </row>
    <row r="71" spans="1:10" ht="12.75" customHeight="1" hidden="1">
      <c r="A71" s="12" t="s">
        <v>11</v>
      </c>
      <c r="B71" s="4"/>
      <c r="C71" s="4"/>
      <c r="D71" s="4"/>
      <c r="E71" s="4"/>
      <c r="F71" s="4" t="s">
        <v>200</v>
      </c>
      <c r="G71" s="200"/>
      <c r="H71" s="199"/>
      <c r="I71" s="200"/>
      <c r="J71" s="200"/>
    </row>
    <row r="72" spans="1:10" ht="26.25" customHeight="1" hidden="1">
      <c r="A72" s="6" t="s">
        <v>12</v>
      </c>
      <c r="B72" s="4"/>
      <c r="C72" s="4"/>
      <c r="D72" s="4"/>
      <c r="E72" s="4"/>
      <c r="F72" s="4" t="s">
        <v>184</v>
      </c>
      <c r="G72" s="200"/>
      <c r="H72" s="199"/>
      <c r="I72" s="200"/>
      <c r="J72" s="200"/>
    </row>
    <row r="73" spans="1:10" s="28" customFormat="1" ht="12.75" hidden="1">
      <c r="A73" s="87" t="s">
        <v>13</v>
      </c>
      <c r="B73" s="27" t="s">
        <v>170</v>
      </c>
      <c r="C73" s="27" t="s">
        <v>182</v>
      </c>
      <c r="D73" s="27" t="s">
        <v>175</v>
      </c>
      <c r="E73" s="27" t="s">
        <v>14</v>
      </c>
      <c r="F73" s="27"/>
      <c r="G73" s="201"/>
      <c r="H73" s="202"/>
      <c r="I73" s="201"/>
      <c r="J73" s="201"/>
    </row>
    <row r="74" spans="1:10" s="45" customFormat="1" ht="12.75" hidden="1">
      <c r="A74" s="43" t="s">
        <v>15</v>
      </c>
      <c r="B74" s="44" t="s">
        <v>170</v>
      </c>
      <c r="C74" s="44" t="s">
        <v>182</v>
      </c>
      <c r="D74" s="44" t="s">
        <v>175</v>
      </c>
      <c r="E74" s="44" t="s">
        <v>16</v>
      </c>
      <c r="F74" s="44"/>
      <c r="G74" s="197"/>
      <c r="H74" s="198"/>
      <c r="I74" s="197"/>
      <c r="J74" s="197"/>
    </row>
    <row r="75" spans="1:10" s="28" customFormat="1" ht="12.75" hidden="1">
      <c r="A75" s="87" t="s">
        <v>17</v>
      </c>
      <c r="B75" s="27" t="s">
        <v>170</v>
      </c>
      <c r="C75" s="27" t="s">
        <v>182</v>
      </c>
      <c r="D75" s="27" t="s">
        <v>175</v>
      </c>
      <c r="E75" s="27" t="s">
        <v>18</v>
      </c>
      <c r="F75" s="27"/>
      <c r="G75" s="201"/>
      <c r="H75" s="202"/>
      <c r="I75" s="201"/>
      <c r="J75" s="201"/>
    </row>
    <row r="76" spans="1:10" s="28" customFormat="1" ht="12.75" hidden="1">
      <c r="A76" s="87" t="s">
        <v>21</v>
      </c>
      <c r="B76" s="27" t="s">
        <v>170</v>
      </c>
      <c r="C76" s="27" t="s">
        <v>182</v>
      </c>
      <c r="D76" s="27" t="s">
        <v>175</v>
      </c>
      <c r="E76" s="27" t="s">
        <v>19</v>
      </c>
      <c r="F76" s="27"/>
      <c r="G76" s="201"/>
      <c r="H76" s="202"/>
      <c r="I76" s="201"/>
      <c r="J76" s="201"/>
    </row>
    <row r="77" spans="1:10" ht="25.5" hidden="1">
      <c r="A77" s="11" t="s">
        <v>20</v>
      </c>
      <c r="B77" s="4"/>
      <c r="C77" s="4"/>
      <c r="D77" s="4"/>
      <c r="E77" s="4"/>
      <c r="F77" s="4" t="s">
        <v>183</v>
      </c>
      <c r="G77" s="200"/>
      <c r="H77" s="199"/>
      <c r="I77" s="200"/>
      <c r="J77" s="200"/>
    </row>
    <row r="78" spans="1:10" ht="38.25" hidden="1">
      <c r="A78" s="8" t="s">
        <v>22</v>
      </c>
      <c r="B78" s="4"/>
      <c r="C78" s="4"/>
      <c r="D78" s="4"/>
      <c r="E78" s="4"/>
      <c r="F78" s="4" t="s">
        <v>185</v>
      </c>
      <c r="G78" s="200"/>
      <c r="H78" s="199"/>
      <c r="I78" s="200"/>
      <c r="J78" s="200"/>
    </row>
    <row r="79" spans="1:10" s="28" customFormat="1" ht="12.75" hidden="1">
      <c r="A79" s="87" t="s">
        <v>23</v>
      </c>
      <c r="B79" s="27" t="s">
        <v>170</v>
      </c>
      <c r="C79" s="27" t="s">
        <v>182</v>
      </c>
      <c r="D79" s="27" t="s">
        <v>175</v>
      </c>
      <c r="E79" s="27" t="s">
        <v>24</v>
      </c>
      <c r="F79" s="27"/>
      <c r="G79" s="201"/>
      <c r="H79" s="202"/>
      <c r="I79" s="201"/>
      <c r="J79" s="201"/>
    </row>
    <row r="80" spans="1:10" ht="12.75" customHeight="1" hidden="1">
      <c r="A80" s="7" t="s">
        <v>25</v>
      </c>
      <c r="B80" s="4"/>
      <c r="C80" s="4"/>
      <c r="D80" s="4"/>
      <c r="E80" s="4"/>
      <c r="F80" s="4" t="s">
        <v>186</v>
      </c>
      <c r="G80" s="200"/>
      <c r="H80" s="199"/>
      <c r="I80" s="200"/>
      <c r="J80" s="200"/>
    </row>
    <row r="81" spans="1:10" ht="12.75" customHeight="1" hidden="1">
      <c r="A81" s="7" t="s">
        <v>26</v>
      </c>
      <c r="B81" s="4"/>
      <c r="C81" s="4"/>
      <c r="D81" s="4"/>
      <c r="E81" s="4"/>
      <c r="F81" s="4" t="s">
        <v>187</v>
      </c>
      <c r="G81" s="200"/>
      <c r="H81" s="199"/>
      <c r="I81" s="200"/>
      <c r="J81" s="200"/>
    </row>
    <row r="82" spans="1:10" ht="12.75" hidden="1">
      <c r="A82" s="7" t="s">
        <v>27</v>
      </c>
      <c r="B82" s="4"/>
      <c r="C82" s="4"/>
      <c r="D82" s="4"/>
      <c r="E82" s="4"/>
      <c r="F82" s="4" t="s">
        <v>188</v>
      </c>
      <c r="G82" s="200"/>
      <c r="H82" s="199"/>
      <c r="I82" s="200"/>
      <c r="J82" s="200"/>
    </row>
    <row r="83" spans="1:10" s="28" customFormat="1" ht="15" customHeight="1" hidden="1">
      <c r="A83" s="87" t="s">
        <v>28</v>
      </c>
      <c r="B83" s="27" t="s">
        <v>170</v>
      </c>
      <c r="C83" s="27" t="s">
        <v>182</v>
      </c>
      <c r="D83" s="27" t="s">
        <v>175</v>
      </c>
      <c r="E83" s="27" t="s">
        <v>29</v>
      </c>
      <c r="F83" s="27"/>
      <c r="G83" s="201"/>
      <c r="H83" s="202"/>
      <c r="I83" s="201"/>
      <c r="J83" s="201"/>
    </row>
    <row r="84" spans="1:10" s="28" customFormat="1" ht="12.75" hidden="1">
      <c r="A84" s="87" t="s">
        <v>30</v>
      </c>
      <c r="B84" s="27" t="s">
        <v>170</v>
      </c>
      <c r="C84" s="27" t="s">
        <v>182</v>
      </c>
      <c r="D84" s="27" t="s">
        <v>175</v>
      </c>
      <c r="E84" s="27" t="s">
        <v>31</v>
      </c>
      <c r="F84" s="27"/>
      <c r="G84" s="201"/>
      <c r="H84" s="202"/>
      <c r="I84" s="201"/>
      <c r="J84" s="201"/>
    </row>
    <row r="85" spans="1:10" s="30" customFormat="1" ht="12.75" hidden="1">
      <c r="A85" s="7" t="s">
        <v>32</v>
      </c>
      <c r="B85" s="29"/>
      <c r="C85" s="29"/>
      <c r="D85" s="29"/>
      <c r="E85" s="29"/>
      <c r="F85" s="17" t="s">
        <v>189</v>
      </c>
      <c r="G85" s="212"/>
      <c r="H85" s="205"/>
      <c r="I85" s="212"/>
      <c r="J85" s="212"/>
    </row>
    <row r="86" spans="1:10" s="18" customFormat="1" ht="12.75" hidden="1">
      <c r="A86" s="7" t="s">
        <v>33</v>
      </c>
      <c r="B86" s="17"/>
      <c r="C86" s="17"/>
      <c r="D86" s="17"/>
      <c r="E86" s="17"/>
      <c r="F86" s="17" t="s">
        <v>191</v>
      </c>
      <c r="G86" s="186"/>
      <c r="H86" s="213"/>
      <c r="I86" s="186"/>
      <c r="J86" s="186"/>
    </row>
    <row r="87" spans="1:10" s="18" customFormat="1" ht="25.5" hidden="1">
      <c r="A87" s="7" t="s">
        <v>34</v>
      </c>
      <c r="B87" s="17"/>
      <c r="C87" s="17"/>
      <c r="D87" s="17"/>
      <c r="E87" s="17"/>
      <c r="F87" s="17" t="s">
        <v>221</v>
      </c>
      <c r="G87" s="186"/>
      <c r="H87" s="213"/>
      <c r="I87" s="186"/>
      <c r="J87" s="186"/>
    </row>
    <row r="88" spans="1:10" s="18" customFormat="1" ht="25.5" hidden="1">
      <c r="A88" s="7" t="s">
        <v>35</v>
      </c>
      <c r="B88" s="17"/>
      <c r="C88" s="17"/>
      <c r="D88" s="17"/>
      <c r="E88" s="17"/>
      <c r="F88" s="17" t="s">
        <v>190</v>
      </c>
      <c r="G88" s="186"/>
      <c r="H88" s="213"/>
      <c r="I88" s="186"/>
      <c r="J88" s="186"/>
    </row>
    <row r="89" spans="1:10" s="18" customFormat="1" ht="51" hidden="1">
      <c r="A89" s="7" t="s">
        <v>36</v>
      </c>
      <c r="B89" s="17"/>
      <c r="C89" s="17"/>
      <c r="D89" s="17"/>
      <c r="E89" s="17"/>
      <c r="F89" s="17" t="s">
        <v>224</v>
      </c>
      <c r="G89" s="186"/>
      <c r="H89" s="213"/>
      <c r="I89" s="186"/>
      <c r="J89" s="186"/>
    </row>
    <row r="90" spans="1:10" s="28" customFormat="1" ht="12.75" hidden="1">
      <c r="A90" s="87" t="s">
        <v>37</v>
      </c>
      <c r="B90" s="27" t="s">
        <v>170</v>
      </c>
      <c r="C90" s="27" t="s">
        <v>182</v>
      </c>
      <c r="D90" s="27" t="s">
        <v>175</v>
      </c>
      <c r="E90" s="27" t="s">
        <v>38</v>
      </c>
      <c r="F90" s="27"/>
      <c r="G90" s="201"/>
      <c r="H90" s="202"/>
      <c r="I90" s="201"/>
      <c r="J90" s="201"/>
    </row>
    <row r="91" spans="1:10" s="21" customFormat="1" ht="38.25" hidden="1">
      <c r="A91" s="11" t="s">
        <v>39</v>
      </c>
      <c r="B91" s="20"/>
      <c r="C91" s="20"/>
      <c r="D91" s="20"/>
      <c r="E91" s="20"/>
      <c r="F91" s="20" t="s">
        <v>183</v>
      </c>
      <c r="G91" s="214"/>
      <c r="H91" s="215"/>
      <c r="I91" s="214"/>
      <c r="J91" s="214"/>
    </row>
    <row r="92" spans="1:10" s="21" customFormat="1" ht="38.25" hidden="1">
      <c r="A92" s="19" t="s">
        <v>40</v>
      </c>
      <c r="B92" s="20"/>
      <c r="C92" s="20"/>
      <c r="D92" s="20"/>
      <c r="E92" s="20"/>
      <c r="F92" s="20" t="s">
        <v>222</v>
      </c>
      <c r="G92" s="214"/>
      <c r="H92" s="215"/>
      <c r="I92" s="214"/>
      <c r="J92" s="214"/>
    </row>
    <row r="93" spans="1:10" s="21" customFormat="1" ht="25.5" customHeight="1" hidden="1">
      <c r="A93" s="12" t="s">
        <v>41</v>
      </c>
      <c r="B93" s="20"/>
      <c r="C93" s="20"/>
      <c r="D93" s="20"/>
      <c r="E93" s="20"/>
      <c r="F93" s="20" t="s">
        <v>192</v>
      </c>
      <c r="G93" s="214"/>
      <c r="H93" s="215"/>
      <c r="I93" s="214"/>
      <c r="J93" s="214"/>
    </row>
    <row r="94" spans="1:10" s="45" customFormat="1" ht="12.75" hidden="1">
      <c r="A94" s="43" t="s">
        <v>42</v>
      </c>
      <c r="B94" s="44" t="s">
        <v>170</v>
      </c>
      <c r="C94" s="44" t="s">
        <v>182</v>
      </c>
      <c r="D94" s="44" t="s">
        <v>175</v>
      </c>
      <c r="E94" s="44" t="s">
        <v>43</v>
      </c>
      <c r="F94" s="44"/>
      <c r="G94" s="197"/>
      <c r="H94" s="198"/>
      <c r="I94" s="197"/>
      <c r="J94" s="197"/>
    </row>
    <row r="95" spans="1:10" s="28" customFormat="1" ht="12.75" hidden="1">
      <c r="A95" s="87" t="s">
        <v>44</v>
      </c>
      <c r="B95" s="27" t="s">
        <v>170</v>
      </c>
      <c r="C95" s="27" t="s">
        <v>182</v>
      </c>
      <c r="D95" s="27" t="s">
        <v>175</v>
      </c>
      <c r="E95" s="27" t="s">
        <v>45</v>
      </c>
      <c r="F95" s="27"/>
      <c r="G95" s="201"/>
      <c r="H95" s="202"/>
      <c r="I95" s="201"/>
      <c r="J95" s="201"/>
    </row>
    <row r="96" spans="1:10" s="21" customFormat="1" ht="12.75" hidden="1">
      <c r="A96" s="6" t="s">
        <v>46</v>
      </c>
      <c r="B96" s="20"/>
      <c r="C96" s="20"/>
      <c r="D96" s="20"/>
      <c r="E96" s="20"/>
      <c r="F96" s="20"/>
      <c r="G96" s="214"/>
      <c r="H96" s="215"/>
      <c r="I96" s="214"/>
      <c r="J96" s="214"/>
    </row>
    <row r="97" spans="1:10" s="45" customFormat="1" ht="12.75" hidden="1">
      <c r="A97" s="43" t="s">
        <v>47</v>
      </c>
      <c r="B97" s="44" t="s">
        <v>170</v>
      </c>
      <c r="C97" s="44" t="s">
        <v>182</v>
      </c>
      <c r="D97" s="44" t="s">
        <v>175</v>
      </c>
      <c r="E97" s="44" t="s">
        <v>48</v>
      </c>
      <c r="F97" s="44"/>
      <c r="G97" s="197"/>
      <c r="H97" s="198"/>
      <c r="I97" s="197"/>
      <c r="J97" s="197"/>
    </row>
    <row r="98" spans="1:10" s="21" customFormat="1" ht="27.75" customHeight="1" hidden="1">
      <c r="A98" s="12" t="s">
        <v>41</v>
      </c>
      <c r="B98" s="20"/>
      <c r="C98" s="20"/>
      <c r="D98" s="20"/>
      <c r="E98" s="20"/>
      <c r="F98" s="20"/>
      <c r="G98" s="214"/>
      <c r="H98" s="215"/>
      <c r="I98" s="214"/>
      <c r="J98" s="214"/>
    </row>
    <row r="99" spans="1:10" s="45" customFormat="1" ht="12.75" hidden="1">
      <c r="A99" s="43" t="s">
        <v>49</v>
      </c>
      <c r="B99" s="44" t="s">
        <v>170</v>
      </c>
      <c r="C99" s="44" t="s">
        <v>182</v>
      </c>
      <c r="D99" s="44" t="s">
        <v>175</v>
      </c>
      <c r="E99" s="44" t="s">
        <v>50</v>
      </c>
      <c r="F99" s="44"/>
      <c r="G99" s="197"/>
      <c r="H99" s="198"/>
      <c r="I99" s="197"/>
      <c r="J99" s="197"/>
    </row>
    <row r="100" spans="1:10" s="28" customFormat="1" ht="12.75" hidden="1">
      <c r="A100" s="87" t="s">
        <v>51</v>
      </c>
      <c r="B100" s="27" t="s">
        <v>170</v>
      </c>
      <c r="C100" s="27" t="s">
        <v>182</v>
      </c>
      <c r="D100" s="27" t="s">
        <v>175</v>
      </c>
      <c r="E100" s="27" t="s">
        <v>52</v>
      </c>
      <c r="F100" s="27"/>
      <c r="G100" s="201"/>
      <c r="H100" s="202"/>
      <c r="I100" s="201"/>
      <c r="J100" s="201"/>
    </row>
    <row r="101" spans="1:10" s="21" customFormat="1" ht="12.75" hidden="1">
      <c r="A101" s="7" t="s">
        <v>53</v>
      </c>
      <c r="B101" s="20"/>
      <c r="C101" s="20"/>
      <c r="D101" s="20"/>
      <c r="E101" s="20"/>
      <c r="F101" s="20" t="s">
        <v>223</v>
      </c>
      <c r="G101" s="214"/>
      <c r="H101" s="215"/>
      <c r="I101" s="214"/>
      <c r="J101" s="214"/>
    </row>
    <row r="102" spans="1:10" s="21" customFormat="1" ht="38.25" customHeight="1" hidden="1">
      <c r="A102" s="7" t="s">
        <v>54</v>
      </c>
      <c r="B102" s="20"/>
      <c r="C102" s="20"/>
      <c r="D102" s="20"/>
      <c r="E102" s="20"/>
      <c r="F102" s="20" t="s">
        <v>194</v>
      </c>
      <c r="G102" s="214"/>
      <c r="H102" s="215"/>
      <c r="I102" s="214"/>
      <c r="J102" s="214"/>
    </row>
    <row r="103" spans="1:10" s="21" customFormat="1" ht="52.5" customHeight="1" hidden="1">
      <c r="A103" s="7" t="s">
        <v>55</v>
      </c>
      <c r="B103" s="20"/>
      <c r="C103" s="20"/>
      <c r="D103" s="20"/>
      <c r="E103" s="20"/>
      <c r="F103" s="20" t="s">
        <v>193</v>
      </c>
      <c r="G103" s="214"/>
      <c r="H103" s="215"/>
      <c r="I103" s="214"/>
      <c r="J103" s="214"/>
    </row>
    <row r="104" spans="1:10" s="28" customFormat="1" ht="14.25" customHeight="1" hidden="1">
      <c r="A104" s="87" t="s">
        <v>56</v>
      </c>
      <c r="B104" s="27" t="s">
        <v>170</v>
      </c>
      <c r="C104" s="27" t="s">
        <v>182</v>
      </c>
      <c r="D104" s="27" t="s">
        <v>175</v>
      </c>
      <c r="E104" s="27" t="s">
        <v>57</v>
      </c>
      <c r="F104" s="27"/>
      <c r="G104" s="201"/>
      <c r="H104" s="202"/>
      <c r="I104" s="201"/>
      <c r="J104" s="201"/>
    </row>
    <row r="105" spans="1:10" s="21" customFormat="1" ht="25.5" hidden="1">
      <c r="A105" s="7" t="s">
        <v>58</v>
      </c>
      <c r="B105" s="20"/>
      <c r="C105" s="20"/>
      <c r="D105" s="20"/>
      <c r="E105" s="20"/>
      <c r="F105" s="20" t="s">
        <v>195</v>
      </c>
      <c r="G105" s="214"/>
      <c r="H105" s="215"/>
      <c r="I105" s="214"/>
      <c r="J105" s="214"/>
    </row>
    <row r="106" spans="1:10" s="21" customFormat="1" ht="12.75" hidden="1">
      <c r="A106" s="7" t="s">
        <v>59</v>
      </c>
      <c r="B106" s="20"/>
      <c r="C106" s="20"/>
      <c r="D106" s="20"/>
      <c r="E106" s="20"/>
      <c r="F106" s="20" t="s">
        <v>196</v>
      </c>
      <c r="G106" s="214"/>
      <c r="H106" s="215"/>
      <c r="I106" s="214"/>
      <c r="J106" s="214"/>
    </row>
    <row r="107" spans="1:10" s="21" customFormat="1" ht="12.75" hidden="1">
      <c r="A107" s="7" t="s">
        <v>60</v>
      </c>
      <c r="B107" s="20"/>
      <c r="C107" s="20"/>
      <c r="D107" s="20"/>
      <c r="E107" s="20"/>
      <c r="F107" s="20" t="s">
        <v>197</v>
      </c>
      <c r="G107" s="214"/>
      <c r="H107" s="215"/>
      <c r="I107" s="214"/>
      <c r="J107" s="214"/>
    </row>
    <row r="108" spans="1:10" s="21" customFormat="1" ht="39" customHeight="1" hidden="1">
      <c r="A108" s="7" t="s">
        <v>61</v>
      </c>
      <c r="B108" s="20"/>
      <c r="C108" s="20"/>
      <c r="D108" s="20"/>
      <c r="E108" s="20"/>
      <c r="F108" s="20" t="s">
        <v>198</v>
      </c>
      <c r="G108" s="214"/>
      <c r="H108" s="215"/>
      <c r="I108" s="214"/>
      <c r="J108" s="214"/>
    </row>
    <row r="109" spans="1:10" s="21" customFormat="1" ht="54.75" customHeight="1" hidden="1">
      <c r="A109" s="47" t="s">
        <v>181</v>
      </c>
      <c r="B109" s="48" t="s">
        <v>145</v>
      </c>
      <c r="C109" s="48" t="s">
        <v>82</v>
      </c>
      <c r="D109" s="48" t="s">
        <v>2</v>
      </c>
      <c r="E109" s="48" t="s">
        <v>2</v>
      </c>
      <c r="F109" s="48"/>
      <c r="G109" s="214"/>
      <c r="H109" s="215"/>
      <c r="I109" s="214"/>
      <c r="J109" s="214"/>
    </row>
    <row r="110" spans="1:10" s="15" customFormat="1" ht="27" customHeight="1" hidden="1">
      <c r="A110" s="79" t="s">
        <v>171</v>
      </c>
      <c r="B110" s="80" t="s">
        <v>145</v>
      </c>
      <c r="C110" s="80" t="s">
        <v>82</v>
      </c>
      <c r="D110" s="80" t="s">
        <v>2</v>
      </c>
      <c r="E110" s="80" t="s">
        <v>2</v>
      </c>
      <c r="F110" s="48"/>
      <c r="G110" s="211"/>
      <c r="H110" s="196"/>
      <c r="I110" s="211"/>
      <c r="J110" s="211"/>
    </row>
    <row r="111" spans="1:10" s="45" customFormat="1" ht="27" customHeight="1" hidden="1">
      <c r="A111" s="81" t="s">
        <v>177</v>
      </c>
      <c r="B111" s="82" t="s">
        <v>145</v>
      </c>
      <c r="C111" s="82" t="s">
        <v>82</v>
      </c>
      <c r="D111" s="82" t="s">
        <v>178</v>
      </c>
      <c r="E111" s="82" t="s">
        <v>2</v>
      </c>
      <c r="F111" s="82"/>
      <c r="G111" s="197"/>
      <c r="H111" s="198"/>
      <c r="I111" s="197"/>
      <c r="J111" s="197"/>
    </row>
    <row r="112" spans="1:10" s="72" customFormat="1" ht="12.75" customHeight="1" hidden="1">
      <c r="A112" s="10" t="s">
        <v>4</v>
      </c>
      <c r="B112" s="14" t="s">
        <v>145</v>
      </c>
      <c r="C112" s="14" t="s">
        <v>82</v>
      </c>
      <c r="D112" s="14" t="s">
        <v>178</v>
      </c>
      <c r="E112" s="14" t="s">
        <v>5</v>
      </c>
      <c r="F112" s="70"/>
      <c r="G112" s="207"/>
      <c r="H112" s="198"/>
      <c r="I112" s="207"/>
      <c r="J112" s="207"/>
    </row>
    <row r="113" spans="1:10" s="28" customFormat="1" ht="12.75" hidden="1">
      <c r="A113" s="87" t="s">
        <v>6</v>
      </c>
      <c r="B113" s="27" t="s">
        <v>145</v>
      </c>
      <c r="C113" s="27" t="s">
        <v>82</v>
      </c>
      <c r="D113" s="27" t="s">
        <v>178</v>
      </c>
      <c r="E113" s="27" t="s">
        <v>7</v>
      </c>
      <c r="F113" s="27"/>
      <c r="G113" s="201"/>
      <c r="H113" s="202"/>
      <c r="I113" s="201"/>
      <c r="J113" s="201"/>
    </row>
    <row r="114" spans="1:10" s="28" customFormat="1" ht="12.75" hidden="1">
      <c r="A114" s="87" t="s">
        <v>13</v>
      </c>
      <c r="B114" s="27" t="s">
        <v>145</v>
      </c>
      <c r="C114" s="27" t="s">
        <v>82</v>
      </c>
      <c r="D114" s="27" t="s">
        <v>178</v>
      </c>
      <c r="E114" s="27" t="s">
        <v>14</v>
      </c>
      <c r="F114" s="27"/>
      <c r="G114" s="201"/>
      <c r="H114" s="202"/>
      <c r="I114" s="201"/>
      <c r="J114" s="201"/>
    </row>
    <row r="115" spans="1:10" s="30" customFormat="1" ht="25.5" hidden="1">
      <c r="A115" s="81" t="s">
        <v>179</v>
      </c>
      <c r="B115" s="82" t="s">
        <v>145</v>
      </c>
      <c r="C115" s="82" t="s">
        <v>82</v>
      </c>
      <c r="D115" s="82" t="s">
        <v>180</v>
      </c>
      <c r="E115" s="82" t="s">
        <v>2</v>
      </c>
      <c r="F115" s="82"/>
      <c r="G115" s="212"/>
      <c r="H115" s="205"/>
      <c r="I115" s="212"/>
      <c r="J115" s="212"/>
    </row>
    <row r="116" spans="1:10" s="84" customFormat="1" ht="12.75" customHeight="1" hidden="1">
      <c r="A116" s="10" t="s">
        <v>4</v>
      </c>
      <c r="B116" s="14" t="s">
        <v>145</v>
      </c>
      <c r="C116" s="14" t="s">
        <v>82</v>
      </c>
      <c r="D116" s="14" t="s">
        <v>180</v>
      </c>
      <c r="E116" s="14" t="s">
        <v>5</v>
      </c>
      <c r="F116" s="70"/>
      <c r="G116" s="216"/>
      <c r="H116" s="205"/>
      <c r="I116" s="216"/>
      <c r="J116" s="216"/>
    </row>
    <row r="117" spans="1:10" s="92" customFormat="1" ht="12.75" hidden="1">
      <c r="A117" s="87" t="s">
        <v>6</v>
      </c>
      <c r="B117" s="27" t="s">
        <v>145</v>
      </c>
      <c r="C117" s="27" t="s">
        <v>82</v>
      </c>
      <c r="D117" s="27" t="s">
        <v>180</v>
      </c>
      <c r="E117" s="27" t="s">
        <v>7</v>
      </c>
      <c r="F117" s="88"/>
      <c r="G117" s="209"/>
      <c r="H117" s="202"/>
      <c r="I117" s="209"/>
      <c r="J117" s="209"/>
    </row>
    <row r="118" spans="1:10" s="92" customFormat="1" ht="12.75" hidden="1">
      <c r="A118" s="87" t="s">
        <v>13</v>
      </c>
      <c r="B118" s="27" t="s">
        <v>145</v>
      </c>
      <c r="C118" s="27" t="s">
        <v>82</v>
      </c>
      <c r="D118" s="27" t="s">
        <v>180</v>
      </c>
      <c r="E118" s="27" t="s">
        <v>14</v>
      </c>
      <c r="F118" s="88"/>
      <c r="G118" s="209"/>
      <c r="H118" s="202"/>
      <c r="I118" s="209"/>
      <c r="J118" s="209"/>
    </row>
    <row r="119" spans="1:10" s="84" customFormat="1" ht="12.75" hidden="1">
      <c r="A119" s="47" t="s">
        <v>174</v>
      </c>
      <c r="B119" s="48" t="s">
        <v>145</v>
      </c>
      <c r="C119" s="48" t="s">
        <v>82</v>
      </c>
      <c r="D119" s="48" t="s">
        <v>175</v>
      </c>
      <c r="E119" s="48" t="s">
        <v>2</v>
      </c>
      <c r="F119" s="82"/>
      <c r="G119" s="216"/>
      <c r="H119" s="205"/>
      <c r="I119" s="216"/>
      <c r="J119" s="216"/>
    </row>
    <row r="120" spans="1:10" s="45" customFormat="1" ht="12.75" customHeight="1" hidden="1">
      <c r="A120" s="43" t="s">
        <v>4</v>
      </c>
      <c r="B120" s="14" t="s">
        <v>145</v>
      </c>
      <c r="C120" s="14" t="s">
        <v>82</v>
      </c>
      <c r="D120" s="14" t="s">
        <v>175</v>
      </c>
      <c r="E120" s="44" t="s">
        <v>5</v>
      </c>
      <c r="F120" s="44"/>
      <c r="G120" s="197"/>
      <c r="H120" s="198"/>
      <c r="I120" s="197"/>
      <c r="J120" s="197"/>
    </row>
    <row r="121" spans="1:10" s="28" customFormat="1" ht="12.75" hidden="1">
      <c r="A121" s="87" t="s">
        <v>6</v>
      </c>
      <c r="B121" s="27" t="s">
        <v>145</v>
      </c>
      <c r="C121" s="27" t="s">
        <v>82</v>
      </c>
      <c r="D121" s="27" t="s">
        <v>175</v>
      </c>
      <c r="E121" s="27" t="s">
        <v>7</v>
      </c>
      <c r="F121" s="27"/>
      <c r="G121" s="201"/>
      <c r="H121" s="202"/>
      <c r="I121" s="201"/>
      <c r="J121" s="201"/>
    </row>
    <row r="122" spans="1:10" s="28" customFormat="1" ht="12.75" hidden="1">
      <c r="A122" s="87" t="s">
        <v>8</v>
      </c>
      <c r="B122" s="27" t="s">
        <v>145</v>
      </c>
      <c r="C122" s="27" t="s">
        <v>82</v>
      </c>
      <c r="D122" s="27" t="s">
        <v>175</v>
      </c>
      <c r="E122" s="27" t="s">
        <v>9</v>
      </c>
      <c r="F122" s="27"/>
      <c r="G122" s="201"/>
      <c r="H122" s="202"/>
      <c r="I122" s="201"/>
      <c r="J122" s="201"/>
    </row>
    <row r="123" spans="1:10" ht="25.5" hidden="1">
      <c r="A123" s="11" t="s">
        <v>10</v>
      </c>
      <c r="B123" s="4"/>
      <c r="C123" s="4"/>
      <c r="D123" s="4"/>
      <c r="E123" s="4"/>
      <c r="F123" s="4" t="s">
        <v>183</v>
      </c>
      <c r="G123" s="200"/>
      <c r="H123" s="199"/>
      <c r="I123" s="200"/>
      <c r="J123" s="200"/>
    </row>
    <row r="124" spans="1:10" ht="12.75" customHeight="1" hidden="1">
      <c r="A124" s="12" t="s">
        <v>11</v>
      </c>
      <c r="B124" s="4"/>
      <c r="C124" s="4"/>
      <c r="D124" s="4"/>
      <c r="E124" s="4"/>
      <c r="F124" s="4" t="s">
        <v>200</v>
      </c>
      <c r="G124" s="200"/>
      <c r="H124" s="199"/>
      <c r="I124" s="200"/>
      <c r="J124" s="200"/>
    </row>
    <row r="125" spans="1:10" ht="26.25" customHeight="1" hidden="1">
      <c r="A125" s="6" t="s">
        <v>12</v>
      </c>
      <c r="B125" s="4"/>
      <c r="C125" s="4"/>
      <c r="D125" s="4"/>
      <c r="E125" s="4"/>
      <c r="F125" s="4" t="s">
        <v>184</v>
      </c>
      <c r="G125" s="200"/>
      <c r="H125" s="199"/>
      <c r="I125" s="200"/>
      <c r="J125" s="200"/>
    </row>
    <row r="126" spans="1:10" s="28" customFormat="1" ht="12.75" hidden="1">
      <c r="A126" s="87" t="s">
        <v>13</v>
      </c>
      <c r="B126" s="27" t="s">
        <v>145</v>
      </c>
      <c r="C126" s="27" t="s">
        <v>82</v>
      </c>
      <c r="D126" s="27" t="s">
        <v>175</v>
      </c>
      <c r="E126" s="27" t="s">
        <v>14</v>
      </c>
      <c r="F126" s="27"/>
      <c r="G126" s="201"/>
      <c r="H126" s="202"/>
      <c r="I126" s="201"/>
      <c r="J126" s="201"/>
    </row>
    <row r="127" spans="1:10" s="45" customFormat="1" ht="12.75" hidden="1">
      <c r="A127" s="43" t="s">
        <v>15</v>
      </c>
      <c r="B127" s="44" t="s">
        <v>145</v>
      </c>
      <c r="C127" s="44" t="s">
        <v>82</v>
      </c>
      <c r="D127" s="44" t="s">
        <v>175</v>
      </c>
      <c r="E127" s="44" t="s">
        <v>16</v>
      </c>
      <c r="F127" s="44"/>
      <c r="G127" s="197"/>
      <c r="H127" s="198"/>
      <c r="I127" s="197"/>
      <c r="J127" s="197"/>
    </row>
    <row r="128" spans="1:10" s="28" customFormat="1" ht="12.75" hidden="1">
      <c r="A128" s="87" t="s">
        <v>17</v>
      </c>
      <c r="B128" s="27" t="s">
        <v>145</v>
      </c>
      <c r="C128" s="27" t="s">
        <v>82</v>
      </c>
      <c r="D128" s="27" t="s">
        <v>175</v>
      </c>
      <c r="E128" s="27" t="s">
        <v>18</v>
      </c>
      <c r="F128" s="27"/>
      <c r="G128" s="201"/>
      <c r="H128" s="202"/>
      <c r="I128" s="201"/>
      <c r="J128" s="201"/>
    </row>
    <row r="129" spans="1:10" s="28" customFormat="1" ht="12.75" hidden="1">
      <c r="A129" s="87" t="s">
        <v>21</v>
      </c>
      <c r="B129" s="27" t="s">
        <v>145</v>
      </c>
      <c r="C129" s="27" t="s">
        <v>82</v>
      </c>
      <c r="D129" s="27" t="s">
        <v>175</v>
      </c>
      <c r="E129" s="27" t="s">
        <v>19</v>
      </c>
      <c r="F129" s="27"/>
      <c r="G129" s="201"/>
      <c r="H129" s="202"/>
      <c r="I129" s="201"/>
      <c r="J129" s="201"/>
    </row>
    <row r="130" spans="1:10" ht="25.5" hidden="1">
      <c r="A130" s="11" t="s">
        <v>20</v>
      </c>
      <c r="B130" s="4"/>
      <c r="C130" s="4"/>
      <c r="D130" s="4"/>
      <c r="E130" s="4"/>
      <c r="F130" s="4" t="s">
        <v>183</v>
      </c>
      <c r="G130" s="200"/>
      <c r="H130" s="199"/>
      <c r="I130" s="200"/>
      <c r="J130" s="200"/>
    </row>
    <row r="131" spans="1:10" ht="38.25" hidden="1">
      <c r="A131" s="8" t="s">
        <v>22</v>
      </c>
      <c r="B131" s="4"/>
      <c r="C131" s="4"/>
      <c r="D131" s="4"/>
      <c r="E131" s="4"/>
      <c r="F131" s="4" t="s">
        <v>185</v>
      </c>
      <c r="G131" s="200"/>
      <c r="H131" s="199"/>
      <c r="I131" s="200"/>
      <c r="J131" s="200"/>
    </row>
    <row r="132" spans="1:10" s="28" customFormat="1" ht="12.75" hidden="1">
      <c r="A132" s="87" t="s">
        <v>23</v>
      </c>
      <c r="B132" s="27" t="s">
        <v>145</v>
      </c>
      <c r="C132" s="27" t="s">
        <v>82</v>
      </c>
      <c r="D132" s="27" t="s">
        <v>175</v>
      </c>
      <c r="E132" s="27" t="s">
        <v>24</v>
      </c>
      <c r="F132" s="27"/>
      <c r="G132" s="201"/>
      <c r="H132" s="202"/>
      <c r="I132" s="201"/>
      <c r="J132" s="201"/>
    </row>
    <row r="133" spans="1:10" ht="12.75" customHeight="1" hidden="1">
      <c r="A133" s="7" t="s">
        <v>25</v>
      </c>
      <c r="B133" s="4"/>
      <c r="C133" s="4"/>
      <c r="D133" s="4"/>
      <c r="E133" s="4"/>
      <c r="F133" s="4" t="s">
        <v>186</v>
      </c>
      <c r="G133" s="200"/>
      <c r="H133" s="199"/>
      <c r="I133" s="200"/>
      <c r="J133" s="200"/>
    </row>
    <row r="134" spans="1:10" ht="12.75" customHeight="1" hidden="1">
      <c r="A134" s="7" t="s">
        <v>26</v>
      </c>
      <c r="B134" s="4"/>
      <c r="C134" s="4"/>
      <c r="D134" s="4"/>
      <c r="E134" s="4"/>
      <c r="F134" s="4" t="s">
        <v>187</v>
      </c>
      <c r="G134" s="200"/>
      <c r="H134" s="199"/>
      <c r="I134" s="200"/>
      <c r="J134" s="200"/>
    </row>
    <row r="135" spans="1:10" ht="12.75" hidden="1">
      <c r="A135" s="7" t="s">
        <v>27</v>
      </c>
      <c r="B135" s="4"/>
      <c r="C135" s="4"/>
      <c r="D135" s="4"/>
      <c r="E135" s="4"/>
      <c r="F135" s="4" t="s">
        <v>188</v>
      </c>
      <c r="G135" s="200"/>
      <c r="H135" s="199"/>
      <c r="I135" s="200"/>
      <c r="J135" s="200"/>
    </row>
    <row r="136" spans="1:10" s="28" customFormat="1" ht="15" customHeight="1" hidden="1">
      <c r="A136" s="87" t="s">
        <v>28</v>
      </c>
      <c r="B136" s="27" t="s">
        <v>145</v>
      </c>
      <c r="C136" s="27" t="s">
        <v>82</v>
      </c>
      <c r="D136" s="27" t="s">
        <v>175</v>
      </c>
      <c r="E136" s="27" t="s">
        <v>29</v>
      </c>
      <c r="F136" s="27"/>
      <c r="G136" s="201"/>
      <c r="H136" s="202"/>
      <c r="I136" s="201"/>
      <c r="J136" s="201"/>
    </row>
    <row r="137" spans="1:10" s="28" customFormat="1" ht="12.75" hidden="1">
      <c r="A137" s="87" t="s">
        <v>30</v>
      </c>
      <c r="B137" s="27" t="s">
        <v>145</v>
      </c>
      <c r="C137" s="27" t="s">
        <v>82</v>
      </c>
      <c r="D137" s="27" t="s">
        <v>175</v>
      </c>
      <c r="E137" s="27" t="s">
        <v>31</v>
      </c>
      <c r="F137" s="27"/>
      <c r="G137" s="201"/>
      <c r="H137" s="202"/>
      <c r="I137" s="201"/>
      <c r="J137" s="201"/>
    </row>
    <row r="138" spans="1:10" s="30" customFormat="1" ht="12.75" hidden="1">
      <c r="A138" s="7" t="s">
        <v>32</v>
      </c>
      <c r="B138" s="29"/>
      <c r="C138" s="29"/>
      <c r="D138" s="29"/>
      <c r="E138" s="29"/>
      <c r="F138" s="17" t="s">
        <v>189</v>
      </c>
      <c r="G138" s="212"/>
      <c r="H138" s="205"/>
      <c r="I138" s="212"/>
      <c r="J138" s="212"/>
    </row>
    <row r="139" spans="1:10" s="18" customFormat="1" ht="12.75" hidden="1">
      <c r="A139" s="7" t="s">
        <v>33</v>
      </c>
      <c r="B139" s="17"/>
      <c r="C139" s="17"/>
      <c r="D139" s="17"/>
      <c r="E139" s="17"/>
      <c r="F139" s="17" t="s">
        <v>191</v>
      </c>
      <c r="G139" s="186"/>
      <c r="H139" s="213"/>
      <c r="I139" s="186"/>
      <c r="J139" s="186"/>
    </row>
    <row r="140" spans="1:10" s="18" customFormat="1" ht="25.5" hidden="1">
      <c r="A140" s="7" t="s">
        <v>34</v>
      </c>
      <c r="B140" s="17"/>
      <c r="C140" s="17"/>
      <c r="D140" s="17"/>
      <c r="E140" s="17"/>
      <c r="F140" s="17" t="s">
        <v>221</v>
      </c>
      <c r="G140" s="186"/>
      <c r="H140" s="213"/>
      <c r="I140" s="186"/>
      <c r="J140" s="186"/>
    </row>
    <row r="141" spans="1:10" s="18" customFormat="1" ht="25.5" hidden="1">
      <c r="A141" s="7" t="s">
        <v>35</v>
      </c>
      <c r="B141" s="17"/>
      <c r="C141" s="17"/>
      <c r="D141" s="17"/>
      <c r="E141" s="17"/>
      <c r="F141" s="17" t="s">
        <v>190</v>
      </c>
      <c r="G141" s="186"/>
      <c r="H141" s="213"/>
      <c r="I141" s="186"/>
      <c r="J141" s="186"/>
    </row>
    <row r="142" spans="1:10" s="18" customFormat="1" ht="51" hidden="1">
      <c r="A142" s="7" t="s">
        <v>36</v>
      </c>
      <c r="B142" s="17"/>
      <c r="C142" s="17"/>
      <c r="D142" s="17"/>
      <c r="E142" s="17"/>
      <c r="F142" s="17" t="s">
        <v>224</v>
      </c>
      <c r="G142" s="186"/>
      <c r="H142" s="213"/>
      <c r="I142" s="186"/>
      <c r="J142" s="186"/>
    </row>
    <row r="143" spans="1:10" s="28" customFormat="1" ht="12.75" hidden="1">
      <c r="A143" s="87" t="s">
        <v>37</v>
      </c>
      <c r="B143" s="27" t="s">
        <v>145</v>
      </c>
      <c r="C143" s="27" t="s">
        <v>82</v>
      </c>
      <c r="D143" s="27" t="s">
        <v>175</v>
      </c>
      <c r="E143" s="27" t="s">
        <v>38</v>
      </c>
      <c r="F143" s="27"/>
      <c r="G143" s="201"/>
      <c r="H143" s="202"/>
      <c r="I143" s="201"/>
      <c r="J143" s="201"/>
    </row>
    <row r="144" spans="1:10" s="21" customFormat="1" ht="38.25" hidden="1">
      <c r="A144" s="11" t="s">
        <v>39</v>
      </c>
      <c r="B144" s="20"/>
      <c r="C144" s="20"/>
      <c r="D144" s="20"/>
      <c r="E144" s="20"/>
      <c r="F144" s="20" t="s">
        <v>183</v>
      </c>
      <c r="G144" s="214"/>
      <c r="H144" s="215"/>
      <c r="I144" s="214"/>
      <c r="J144" s="214"/>
    </row>
    <row r="145" spans="1:10" s="21" customFormat="1" ht="38.25" hidden="1">
      <c r="A145" s="19" t="s">
        <v>40</v>
      </c>
      <c r="B145" s="20"/>
      <c r="C145" s="20"/>
      <c r="D145" s="20"/>
      <c r="E145" s="20"/>
      <c r="F145" s="20" t="s">
        <v>222</v>
      </c>
      <c r="G145" s="214"/>
      <c r="H145" s="215"/>
      <c r="I145" s="214"/>
      <c r="J145" s="214"/>
    </row>
    <row r="146" spans="1:10" s="21" customFormat="1" ht="25.5" customHeight="1" hidden="1">
      <c r="A146" s="12" t="s">
        <v>41</v>
      </c>
      <c r="B146" s="20"/>
      <c r="C146" s="20"/>
      <c r="D146" s="20"/>
      <c r="E146" s="20"/>
      <c r="F146" s="20" t="s">
        <v>192</v>
      </c>
      <c r="G146" s="214"/>
      <c r="H146" s="215"/>
      <c r="I146" s="214"/>
      <c r="J146" s="214"/>
    </row>
    <row r="147" spans="1:10" s="45" customFormat="1" ht="12.75" hidden="1">
      <c r="A147" s="43" t="s">
        <v>42</v>
      </c>
      <c r="B147" s="44" t="s">
        <v>145</v>
      </c>
      <c r="C147" s="44" t="s">
        <v>82</v>
      </c>
      <c r="D147" s="44" t="s">
        <v>175</v>
      </c>
      <c r="E147" s="44" t="s">
        <v>43</v>
      </c>
      <c r="F147" s="44"/>
      <c r="G147" s="197"/>
      <c r="H147" s="198"/>
      <c r="I147" s="197"/>
      <c r="J147" s="197"/>
    </row>
    <row r="148" spans="1:10" s="28" customFormat="1" ht="12.75" hidden="1">
      <c r="A148" s="87" t="s">
        <v>44</v>
      </c>
      <c r="B148" s="27" t="s">
        <v>145</v>
      </c>
      <c r="C148" s="27" t="s">
        <v>82</v>
      </c>
      <c r="D148" s="27" t="s">
        <v>175</v>
      </c>
      <c r="E148" s="27" t="s">
        <v>45</v>
      </c>
      <c r="F148" s="27"/>
      <c r="G148" s="201"/>
      <c r="H148" s="202"/>
      <c r="I148" s="201"/>
      <c r="J148" s="201"/>
    </row>
    <row r="149" spans="1:10" s="21" customFormat="1" ht="12.75" hidden="1">
      <c r="A149" s="6" t="s">
        <v>46</v>
      </c>
      <c r="B149" s="20"/>
      <c r="C149" s="20"/>
      <c r="D149" s="20"/>
      <c r="E149" s="20"/>
      <c r="F149" s="20"/>
      <c r="G149" s="214"/>
      <c r="H149" s="215"/>
      <c r="I149" s="214"/>
      <c r="J149" s="214"/>
    </row>
    <row r="150" spans="1:10" s="45" customFormat="1" ht="12.75" hidden="1">
      <c r="A150" s="43" t="s">
        <v>47</v>
      </c>
      <c r="B150" s="44" t="s">
        <v>145</v>
      </c>
      <c r="C150" s="44" t="s">
        <v>82</v>
      </c>
      <c r="D150" s="44" t="s">
        <v>175</v>
      </c>
      <c r="E150" s="44" t="s">
        <v>48</v>
      </c>
      <c r="F150" s="44"/>
      <c r="G150" s="197"/>
      <c r="H150" s="198"/>
      <c r="I150" s="197"/>
      <c r="J150" s="197"/>
    </row>
    <row r="151" spans="1:10" s="21" customFormat="1" ht="27.75" customHeight="1" hidden="1">
      <c r="A151" s="12" t="s">
        <v>41</v>
      </c>
      <c r="B151" s="20"/>
      <c r="C151" s="20"/>
      <c r="D151" s="20"/>
      <c r="E151" s="20"/>
      <c r="F151" s="20"/>
      <c r="G151" s="214"/>
      <c r="H151" s="215"/>
      <c r="I151" s="214"/>
      <c r="J151" s="214"/>
    </row>
    <row r="152" spans="1:10" s="45" customFormat="1" ht="12.75" hidden="1">
      <c r="A152" s="43" t="s">
        <v>49</v>
      </c>
      <c r="B152" s="44" t="s">
        <v>145</v>
      </c>
      <c r="C152" s="44" t="s">
        <v>82</v>
      </c>
      <c r="D152" s="44" t="s">
        <v>175</v>
      </c>
      <c r="E152" s="44" t="s">
        <v>50</v>
      </c>
      <c r="F152" s="44"/>
      <c r="G152" s="197"/>
      <c r="H152" s="198"/>
      <c r="I152" s="197"/>
      <c r="J152" s="197"/>
    </row>
    <row r="153" spans="1:10" s="28" customFormat="1" ht="12.75" hidden="1">
      <c r="A153" s="87" t="s">
        <v>51</v>
      </c>
      <c r="B153" s="27" t="s">
        <v>145</v>
      </c>
      <c r="C153" s="27" t="s">
        <v>82</v>
      </c>
      <c r="D153" s="27" t="s">
        <v>175</v>
      </c>
      <c r="E153" s="27" t="s">
        <v>52</v>
      </c>
      <c r="F153" s="27"/>
      <c r="G153" s="201"/>
      <c r="H153" s="202"/>
      <c r="I153" s="201"/>
      <c r="J153" s="201"/>
    </row>
    <row r="154" spans="1:10" s="21" customFormat="1" ht="12.75" hidden="1">
      <c r="A154" s="7" t="s">
        <v>53</v>
      </c>
      <c r="B154" s="20"/>
      <c r="C154" s="20"/>
      <c r="D154" s="20"/>
      <c r="E154" s="20"/>
      <c r="F154" s="20" t="s">
        <v>223</v>
      </c>
      <c r="G154" s="214"/>
      <c r="H154" s="215"/>
      <c r="I154" s="214"/>
      <c r="J154" s="214"/>
    </row>
    <row r="155" spans="1:10" s="21" customFormat="1" ht="38.25" customHeight="1" hidden="1">
      <c r="A155" s="7" t="s">
        <v>54</v>
      </c>
      <c r="B155" s="20"/>
      <c r="C155" s="20"/>
      <c r="D155" s="20"/>
      <c r="E155" s="20"/>
      <c r="F155" s="20" t="s">
        <v>194</v>
      </c>
      <c r="G155" s="214"/>
      <c r="H155" s="215"/>
      <c r="I155" s="214"/>
      <c r="J155" s="214"/>
    </row>
    <row r="156" spans="1:10" s="21" customFormat="1" ht="53.25" customHeight="1" hidden="1">
      <c r="A156" s="7" t="s">
        <v>55</v>
      </c>
      <c r="B156" s="20"/>
      <c r="C156" s="20"/>
      <c r="D156" s="20"/>
      <c r="E156" s="20"/>
      <c r="F156" s="20" t="s">
        <v>193</v>
      </c>
      <c r="G156" s="214"/>
      <c r="H156" s="215"/>
      <c r="I156" s="214"/>
      <c r="J156" s="214"/>
    </row>
    <row r="157" spans="1:10" s="28" customFormat="1" ht="16.5" customHeight="1" hidden="1">
      <c r="A157" s="87" t="s">
        <v>56</v>
      </c>
      <c r="B157" s="27" t="s">
        <v>145</v>
      </c>
      <c r="C157" s="27" t="s">
        <v>82</v>
      </c>
      <c r="D157" s="27" t="s">
        <v>175</v>
      </c>
      <c r="E157" s="27" t="s">
        <v>57</v>
      </c>
      <c r="F157" s="27"/>
      <c r="G157" s="201"/>
      <c r="H157" s="202"/>
      <c r="I157" s="201"/>
      <c r="J157" s="201"/>
    </row>
    <row r="158" spans="1:10" s="21" customFormat="1" ht="25.5" hidden="1">
      <c r="A158" s="7" t="s">
        <v>58</v>
      </c>
      <c r="B158" s="20"/>
      <c r="C158" s="20"/>
      <c r="D158" s="20"/>
      <c r="E158" s="20"/>
      <c r="F158" s="20" t="s">
        <v>195</v>
      </c>
      <c r="G158" s="214"/>
      <c r="H158" s="215"/>
      <c r="I158" s="214"/>
      <c r="J158" s="214"/>
    </row>
    <row r="159" spans="1:10" s="21" customFormat="1" ht="12.75" hidden="1">
      <c r="A159" s="7" t="s">
        <v>59</v>
      </c>
      <c r="B159" s="20"/>
      <c r="C159" s="20"/>
      <c r="D159" s="20"/>
      <c r="E159" s="20"/>
      <c r="F159" s="20" t="s">
        <v>196</v>
      </c>
      <c r="G159" s="214"/>
      <c r="H159" s="215"/>
      <c r="I159" s="214"/>
      <c r="J159" s="214"/>
    </row>
    <row r="160" spans="1:10" s="21" customFormat="1" ht="12.75" hidden="1">
      <c r="A160" s="7" t="s">
        <v>60</v>
      </c>
      <c r="B160" s="20"/>
      <c r="C160" s="20"/>
      <c r="D160" s="20"/>
      <c r="E160" s="20"/>
      <c r="F160" s="20" t="s">
        <v>197</v>
      </c>
      <c r="G160" s="214"/>
      <c r="H160" s="215"/>
      <c r="I160" s="214"/>
      <c r="J160" s="214"/>
    </row>
    <row r="161" spans="1:10" s="21" customFormat="1" ht="39" customHeight="1" hidden="1">
      <c r="A161" s="7" t="s">
        <v>61</v>
      </c>
      <c r="B161" s="20"/>
      <c r="C161" s="20"/>
      <c r="D161" s="20"/>
      <c r="E161" s="20"/>
      <c r="F161" s="20" t="s">
        <v>198</v>
      </c>
      <c r="G161" s="214"/>
      <c r="H161" s="215"/>
      <c r="I161" s="214"/>
      <c r="J161" s="214"/>
    </row>
    <row r="162" spans="1:10" s="21" customFormat="1" ht="22.5" customHeight="1">
      <c r="A162" s="11" t="s">
        <v>10</v>
      </c>
      <c r="B162" s="20"/>
      <c r="C162" s="20"/>
      <c r="D162" s="20"/>
      <c r="E162" s="20"/>
      <c r="F162" s="20" t="s">
        <v>371</v>
      </c>
      <c r="G162" s="214"/>
      <c r="H162" s="215"/>
      <c r="I162" s="214">
        <f>G162-H162</f>
        <v>0</v>
      </c>
      <c r="J162" s="214"/>
    </row>
    <row r="163" spans="1:10" s="21" customFormat="1" ht="15" customHeight="1">
      <c r="A163" s="12" t="s">
        <v>343</v>
      </c>
      <c r="B163" s="20"/>
      <c r="C163" s="20"/>
      <c r="D163" s="20"/>
      <c r="E163" s="20"/>
      <c r="F163" s="20"/>
      <c r="G163" s="214"/>
      <c r="H163" s="215"/>
      <c r="I163" s="214">
        <f>G163-H163</f>
        <v>0</v>
      </c>
      <c r="J163" s="214"/>
    </row>
    <row r="164" spans="1:10" s="21" customFormat="1" ht="24.75" customHeight="1">
      <c r="A164" s="6" t="s">
        <v>12</v>
      </c>
      <c r="B164" s="20"/>
      <c r="C164" s="20"/>
      <c r="D164" s="20"/>
      <c r="E164" s="20"/>
      <c r="F164" s="20" t="s">
        <v>370</v>
      </c>
      <c r="G164" s="214"/>
      <c r="H164" s="215"/>
      <c r="I164" s="214">
        <f>G164-H164</f>
        <v>0</v>
      </c>
      <c r="J164" s="214"/>
    </row>
    <row r="165" spans="1:10" s="21" customFormat="1" ht="14.25" customHeight="1">
      <c r="A165" s="87" t="s">
        <v>13</v>
      </c>
      <c r="B165" s="20" t="s">
        <v>145</v>
      </c>
      <c r="C165" s="20" t="s">
        <v>232</v>
      </c>
      <c r="D165" s="20" t="s">
        <v>175</v>
      </c>
      <c r="E165" s="4" t="s">
        <v>14</v>
      </c>
      <c r="F165" s="20" t="s">
        <v>369</v>
      </c>
      <c r="G165" s="214"/>
      <c r="H165" s="215"/>
      <c r="I165" s="214">
        <f>G165-H165</f>
        <v>0</v>
      </c>
      <c r="J165" s="214"/>
    </row>
    <row r="166" spans="1:10" s="21" customFormat="1" ht="17.25" customHeight="1">
      <c r="A166" s="43" t="s">
        <v>15</v>
      </c>
      <c r="B166" s="14" t="s">
        <v>145</v>
      </c>
      <c r="C166" s="14" t="s">
        <v>232</v>
      </c>
      <c r="D166" s="14" t="s">
        <v>175</v>
      </c>
      <c r="E166" s="14" t="s">
        <v>16</v>
      </c>
      <c r="F166" s="20"/>
      <c r="G166" s="211">
        <f>G167+G168+G171+G175+G176+G182</f>
        <v>0</v>
      </c>
      <c r="H166" s="196">
        <f>H167+H168+H171+H175+H176+H182</f>
        <v>0</v>
      </c>
      <c r="I166" s="211">
        <f>I167+I168+I171+I175+I176+I182</f>
        <v>0</v>
      </c>
      <c r="J166" s="211">
        <f>J167+J168+J171+J175+J176+J182</f>
        <v>0</v>
      </c>
    </row>
    <row r="167" spans="1:10" s="21" customFormat="1" ht="12.75" customHeight="1">
      <c r="A167" s="87" t="s">
        <v>341</v>
      </c>
      <c r="B167" s="20" t="s">
        <v>145</v>
      </c>
      <c r="C167" s="20" t="s">
        <v>232</v>
      </c>
      <c r="D167" s="20" t="s">
        <v>175</v>
      </c>
      <c r="E167" s="20" t="s">
        <v>18</v>
      </c>
      <c r="F167" s="20" t="s">
        <v>369</v>
      </c>
      <c r="G167" s="214"/>
      <c r="H167" s="215"/>
      <c r="I167" s="214">
        <f>G167-H167</f>
        <v>0</v>
      </c>
      <c r="J167" s="214"/>
    </row>
    <row r="168" spans="1:10" s="21" customFormat="1" ht="21" customHeight="1">
      <c r="A168" s="87" t="s">
        <v>21</v>
      </c>
      <c r="B168" s="20" t="s">
        <v>145</v>
      </c>
      <c r="C168" s="20" t="s">
        <v>232</v>
      </c>
      <c r="D168" s="20" t="s">
        <v>175</v>
      </c>
      <c r="E168" s="20" t="s">
        <v>19</v>
      </c>
      <c r="F168" s="20"/>
      <c r="G168" s="214">
        <f>G169+G170</f>
        <v>0</v>
      </c>
      <c r="H168" s="215">
        <f>H169+H170</f>
        <v>0</v>
      </c>
      <c r="I168" s="214">
        <f>I169+I170</f>
        <v>0</v>
      </c>
      <c r="J168" s="214">
        <f>J169+J170</f>
        <v>0</v>
      </c>
    </row>
    <row r="169" spans="1:10" s="21" customFormat="1" ht="25.5" customHeight="1">
      <c r="A169" s="11" t="s">
        <v>344</v>
      </c>
      <c r="B169" s="20"/>
      <c r="C169" s="20"/>
      <c r="D169" s="20"/>
      <c r="E169" s="20"/>
      <c r="F169" s="20" t="s">
        <v>372</v>
      </c>
      <c r="G169" s="214"/>
      <c r="H169" s="215"/>
      <c r="I169" s="214">
        <f>G169-H169</f>
        <v>0</v>
      </c>
      <c r="J169" s="214"/>
    </row>
    <row r="170" spans="1:10" s="21" customFormat="1" ht="23.25" customHeight="1">
      <c r="A170" s="8" t="s">
        <v>22</v>
      </c>
      <c r="B170" s="20"/>
      <c r="C170" s="20"/>
      <c r="D170" s="20"/>
      <c r="E170" s="20"/>
      <c r="F170" s="20" t="s">
        <v>374</v>
      </c>
      <c r="G170" s="214"/>
      <c r="H170" s="215"/>
      <c r="I170" s="214">
        <f>G170-H170</f>
        <v>0</v>
      </c>
      <c r="J170" s="214"/>
    </row>
    <row r="171" spans="1:10" s="21" customFormat="1" ht="15.75" customHeight="1">
      <c r="A171" s="87" t="s">
        <v>23</v>
      </c>
      <c r="B171" s="20" t="s">
        <v>145</v>
      </c>
      <c r="C171" s="20" t="s">
        <v>232</v>
      </c>
      <c r="D171" s="20" t="s">
        <v>175</v>
      </c>
      <c r="E171" s="20" t="s">
        <v>24</v>
      </c>
      <c r="F171" s="20"/>
      <c r="G171" s="214"/>
      <c r="H171" s="215"/>
      <c r="I171" s="214"/>
      <c r="J171" s="214"/>
    </row>
    <row r="172" spans="1:10" s="21" customFormat="1" ht="15.75" customHeight="1">
      <c r="A172" s="7" t="s">
        <v>345</v>
      </c>
      <c r="B172" s="20"/>
      <c r="C172" s="20"/>
      <c r="D172" s="20"/>
      <c r="E172" s="20"/>
      <c r="F172" s="20" t="s">
        <v>373</v>
      </c>
      <c r="G172" s="214"/>
      <c r="H172" s="215"/>
      <c r="I172" s="214">
        <f>G172-H172</f>
        <v>0</v>
      </c>
      <c r="J172" s="214"/>
    </row>
    <row r="173" spans="1:10" s="21" customFormat="1" ht="16.5" customHeight="1">
      <c r="A173" s="7" t="s">
        <v>346</v>
      </c>
      <c r="B173" s="20"/>
      <c r="C173" s="20"/>
      <c r="D173" s="20"/>
      <c r="E173" s="20"/>
      <c r="F173" s="20" t="s">
        <v>375</v>
      </c>
      <c r="G173" s="214"/>
      <c r="H173" s="215"/>
      <c r="I173" s="214">
        <f>G173-H173</f>
        <v>0</v>
      </c>
      <c r="J173" s="214"/>
    </row>
    <row r="174" spans="1:10" s="21" customFormat="1" ht="15.75" customHeight="1">
      <c r="A174" s="7" t="s">
        <v>347</v>
      </c>
      <c r="B174" s="20"/>
      <c r="C174" s="20"/>
      <c r="D174" s="20"/>
      <c r="E174" s="20"/>
      <c r="F174" s="20" t="s">
        <v>376</v>
      </c>
      <c r="G174" s="214"/>
      <c r="H174" s="215"/>
      <c r="I174" s="214">
        <f>G174-H174</f>
        <v>0</v>
      </c>
      <c r="J174" s="214"/>
    </row>
    <row r="175" spans="1:10" s="21" customFormat="1" ht="15.75" customHeight="1">
      <c r="A175" s="87" t="s">
        <v>28</v>
      </c>
      <c r="B175" s="20" t="s">
        <v>145</v>
      </c>
      <c r="C175" s="20" t="s">
        <v>232</v>
      </c>
      <c r="D175" s="20" t="s">
        <v>175</v>
      </c>
      <c r="E175" s="20" t="s">
        <v>29</v>
      </c>
      <c r="F175" s="20"/>
      <c r="G175" s="214"/>
      <c r="H175" s="215"/>
      <c r="I175" s="214">
        <f>G175-H175</f>
        <v>0</v>
      </c>
      <c r="J175" s="214"/>
    </row>
    <row r="176" spans="1:10" s="21" customFormat="1" ht="14.25" customHeight="1">
      <c r="A176" s="87" t="s">
        <v>30</v>
      </c>
      <c r="B176" s="20"/>
      <c r="C176" s="20"/>
      <c r="D176" s="20"/>
      <c r="E176" s="20" t="s">
        <v>31</v>
      </c>
      <c r="F176" s="20"/>
      <c r="G176" s="214"/>
      <c r="H176" s="215"/>
      <c r="I176" s="214"/>
      <c r="J176" s="214"/>
    </row>
    <row r="177" spans="1:10" s="21" customFormat="1" ht="12.75" customHeight="1">
      <c r="A177" s="7" t="s">
        <v>348</v>
      </c>
      <c r="B177" s="20"/>
      <c r="C177" s="20"/>
      <c r="D177" s="20"/>
      <c r="E177" s="20"/>
      <c r="F177" s="20" t="s">
        <v>377</v>
      </c>
      <c r="G177" s="214"/>
      <c r="H177" s="215"/>
      <c r="I177" s="214">
        <f>G177-H177</f>
        <v>0</v>
      </c>
      <c r="J177" s="214"/>
    </row>
    <row r="178" spans="1:10" s="21" customFormat="1" ht="15.75" customHeight="1">
      <c r="A178" s="7" t="s">
        <v>349</v>
      </c>
      <c r="B178" s="20"/>
      <c r="C178" s="20"/>
      <c r="D178" s="20"/>
      <c r="E178" s="20"/>
      <c r="F178" s="20" t="s">
        <v>376</v>
      </c>
      <c r="G178" s="214"/>
      <c r="H178" s="215"/>
      <c r="I178" s="214">
        <f>G178-H178</f>
        <v>0</v>
      </c>
      <c r="J178" s="214"/>
    </row>
    <row r="179" spans="1:10" s="21" customFormat="1" ht="24.75" customHeight="1">
      <c r="A179" s="7" t="s">
        <v>350</v>
      </c>
      <c r="B179" s="20"/>
      <c r="C179" s="20"/>
      <c r="D179" s="20"/>
      <c r="E179" s="20"/>
      <c r="F179" s="20" t="s">
        <v>379</v>
      </c>
      <c r="G179" s="214"/>
      <c r="H179" s="215"/>
      <c r="I179" s="214">
        <f>G179-H179</f>
        <v>0</v>
      </c>
      <c r="J179" s="214"/>
    </row>
    <row r="180" spans="1:10" s="21" customFormat="1" ht="14.25" customHeight="1">
      <c r="A180" s="7" t="s">
        <v>351</v>
      </c>
      <c r="B180" s="20"/>
      <c r="C180" s="20"/>
      <c r="D180" s="20"/>
      <c r="E180" s="20"/>
      <c r="F180" s="20" t="s">
        <v>380</v>
      </c>
      <c r="G180" s="214"/>
      <c r="H180" s="215"/>
      <c r="I180" s="214">
        <f>G180-H180</f>
        <v>0</v>
      </c>
      <c r="J180" s="214"/>
    </row>
    <row r="181" spans="1:10" s="21" customFormat="1" ht="24.75" customHeight="1">
      <c r="A181" s="7" t="s">
        <v>36</v>
      </c>
      <c r="B181" s="20"/>
      <c r="C181" s="20"/>
      <c r="D181" s="20"/>
      <c r="E181" s="20"/>
      <c r="F181" s="20"/>
      <c r="G181" s="214"/>
      <c r="H181" s="215"/>
      <c r="I181" s="214"/>
      <c r="J181" s="214"/>
    </row>
    <row r="182" spans="1:10" s="21" customFormat="1" ht="12.75" customHeight="1">
      <c r="A182" s="87" t="s">
        <v>37</v>
      </c>
      <c r="B182" s="20" t="s">
        <v>145</v>
      </c>
      <c r="C182" s="20" t="s">
        <v>232</v>
      </c>
      <c r="D182" s="20" t="s">
        <v>175</v>
      </c>
      <c r="E182" s="20" t="s">
        <v>38</v>
      </c>
      <c r="F182" s="20"/>
      <c r="G182" s="214">
        <f>G183+G184+G185</f>
        <v>0</v>
      </c>
      <c r="H182" s="215">
        <f>H183+H184+H185</f>
        <v>0</v>
      </c>
      <c r="I182" s="214">
        <f>I183+I184+I185</f>
        <v>0</v>
      </c>
      <c r="J182" s="214">
        <f>J183+J184+J185</f>
        <v>0</v>
      </c>
    </row>
    <row r="183" spans="1:10" s="21" customFormat="1" ht="36.75" customHeight="1">
      <c r="A183" s="11" t="s">
        <v>352</v>
      </c>
      <c r="B183" s="20"/>
      <c r="C183" s="20"/>
      <c r="D183" s="20"/>
      <c r="E183" s="20"/>
      <c r="F183" s="153" t="s">
        <v>381</v>
      </c>
      <c r="G183" s="214"/>
      <c r="H183" s="215"/>
      <c r="I183" s="214">
        <f>G183-H183</f>
        <v>0</v>
      </c>
      <c r="J183" s="214"/>
    </row>
    <row r="184" spans="1:10" s="21" customFormat="1" ht="39" customHeight="1">
      <c r="A184" s="19" t="s">
        <v>353</v>
      </c>
      <c r="B184" s="20"/>
      <c r="C184" s="20"/>
      <c r="D184" s="20"/>
      <c r="E184" s="20"/>
      <c r="F184" s="20" t="s">
        <v>382</v>
      </c>
      <c r="G184" s="214"/>
      <c r="H184" s="215"/>
      <c r="I184" s="214">
        <f>G184-H184</f>
        <v>0</v>
      </c>
      <c r="J184" s="214"/>
    </row>
    <row r="185" spans="1:10" s="21" customFormat="1" ht="26.25" customHeight="1">
      <c r="A185" s="12" t="s">
        <v>354</v>
      </c>
      <c r="B185" s="20"/>
      <c r="C185" s="20"/>
      <c r="D185" s="20"/>
      <c r="E185" s="20"/>
      <c r="F185" s="20" t="s">
        <v>382</v>
      </c>
      <c r="G185" s="214"/>
      <c r="H185" s="215"/>
      <c r="I185" s="214">
        <f>G185-H185</f>
        <v>0</v>
      </c>
      <c r="J185" s="214"/>
    </row>
    <row r="186" spans="1:10" s="21" customFormat="1" ht="13.5" customHeight="1">
      <c r="A186" s="43" t="s">
        <v>42</v>
      </c>
      <c r="B186" s="14" t="s">
        <v>145</v>
      </c>
      <c r="C186" s="14" t="s">
        <v>232</v>
      </c>
      <c r="D186" s="14" t="s">
        <v>175</v>
      </c>
      <c r="E186" s="14" t="s">
        <v>43</v>
      </c>
      <c r="F186" s="20"/>
      <c r="G186" s="214"/>
      <c r="H186" s="215"/>
      <c r="I186" s="214"/>
      <c r="J186" s="214"/>
    </row>
    <row r="187" spans="1:10" s="21" customFormat="1" ht="12" customHeight="1">
      <c r="A187" s="87" t="s">
        <v>44</v>
      </c>
      <c r="B187" s="20" t="s">
        <v>145</v>
      </c>
      <c r="C187" s="20" t="s">
        <v>232</v>
      </c>
      <c r="D187" s="20" t="s">
        <v>175</v>
      </c>
      <c r="E187" s="20" t="s">
        <v>45</v>
      </c>
      <c r="F187" s="20" t="s">
        <v>369</v>
      </c>
      <c r="G187" s="214"/>
      <c r="H187" s="215"/>
      <c r="I187" s="214">
        <f>G187-H187</f>
        <v>0</v>
      </c>
      <c r="J187" s="214"/>
    </row>
    <row r="188" spans="1:10" s="21" customFormat="1" ht="14.25" customHeight="1">
      <c r="A188" s="6" t="s">
        <v>355</v>
      </c>
      <c r="B188" s="20"/>
      <c r="C188" s="20"/>
      <c r="D188" s="20"/>
      <c r="E188" s="20"/>
      <c r="F188" s="20"/>
      <c r="G188" s="214"/>
      <c r="H188" s="215"/>
      <c r="I188" s="214">
        <f>G188-H188</f>
        <v>0</v>
      </c>
      <c r="J188" s="214"/>
    </row>
    <row r="189" spans="1:10" s="21" customFormat="1" ht="14.25" customHeight="1">
      <c r="A189" s="43" t="s">
        <v>47</v>
      </c>
      <c r="B189" s="14" t="s">
        <v>145</v>
      </c>
      <c r="C189" s="14" t="s">
        <v>232</v>
      </c>
      <c r="D189" s="14" t="s">
        <v>175</v>
      </c>
      <c r="E189" s="14" t="s">
        <v>48</v>
      </c>
      <c r="F189" s="20"/>
      <c r="G189" s="211">
        <f>G190</f>
        <v>43000</v>
      </c>
      <c r="H189" s="196">
        <f>H190</f>
        <v>27942</v>
      </c>
      <c r="I189" s="211">
        <f>I190</f>
        <v>15058</v>
      </c>
      <c r="J189" s="211">
        <f>J190</f>
        <v>0</v>
      </c>
    </row>
    <row r="190" spans="1:10" s="21" customFormat="1" ht="24.75" customHeight="1">
      <c r="A190" s="12" t="s">
        <v>354</v>
      </c>
      <c r="B190" s="20"/>
      <c r="C190" s="20"/>
      <c r="D190" s="20"/>
      <c r="E190" s="20"/>
      <c r="F190" s="153" t="s">
        <v>369</v>
      </c>
      <c r="G190" s="214">
        <v>43000</v>
      </c>
      <c r="H190" s="215">
        <f>685+25000+685+1572</f>
        <v>27942</v>
      </c>
      <c r="I190" s="214">
        <f>G190-H190</f>
        <v>15058</v>
      </c>
      <c r="J190" s="214"/>
    </row>
    <row r="191" spans="1:10" s="21" customFormat="1" ht="15.75" customHeight="1">
      <c r="A191" s="43" t="s">
        <v>49</v>
      </c>
      <c r="B191" s="14" t="s">
        <v>145</v>
      </c>
      <c r="C191" s="14" t="s">
        <v>232</v>
      </c>
      <c r="D191" s="14" t="s">
        <v>175</v>
      </c>
      <c r="E191" s="14" t="s">
        <v>50</v>
      </c>
      <c r="F191" s="20"/>
      <c r="G191" s="211">
        <f>G192+G196</f>
        <v>144750</v>
      </c>
      <c r="H191" s="196">
        <f>H192+H196</f>
        <v>8615</v>
      </c>
      <c r="I191" s="211">
        <f>I192+I196</f>
        <v>136135</v>
      </c>
      <c r="J191" s="211">
        <f>J192+J196</f>
        <v>0</v>
      </c>
    </row>
    <row r="192" spans="1:10" s="21" customFormat="1" ht="17.25" customHeight="1">
      <c r="A192" s="87" t="s">
        <v>51</v>
      </c>
      <c r="B192" s="20" t="s">
        <v>145</v>
      </c>
      <c r="C192" s="20" t="s">
        <v>232</v>
      </c>
      <c r="D192" s="20" t="s">
        <v>175</v>
      </c>
      <c r="E192" s="20" t="s">
        <v>52</v>
      </c>
      <c r="F192" s="20"/>
      <c r="G192" s="214">
        <f>G195</f>
        <v>107250</v>
      </c>
      <c r="H192" s="215">
        <f>H195</f>
        <v>0</v>
      </c>
      <c r="I192" s="214">
        <f>I195</f>
        <v>107250</v>
      </c>
      <c r="J192" s="214">
        <f>J195</f>
        <v>0</v>
      </c>
    </row>
    <row r="193" spans="1:10" s="21" customFormat="1" ht="13.5" customHeight="1">
      <c r="A193" s="7" t="s">
        <v>356</v>
      </c>
      <c r="B193" s="20"/>
      <c r="C193" s="20"/>
      <c r="D193" s="20"/>
      <c r="E193" s="20"/>
      <c r="F193" s="20"/>
      <c r="G193" s="214"/>
      <c r="H193" s="215"/>
      <c r="I193" s="214"/>
      <c r="J193" s="214"/>
    </row>
    <row r="194" spans="1:10" s="21" customFormat="1" ht="27" customHeight="1">
      <c r="A194" s="7" t="s">
        <v>54</v>
      </c>
      <c r="B194" s="20"/>
      <c r="C194" s="20"/>
      <c r="D194" s="20"/>
      <c r="E194" s="20"/>
      <c r="F194" s="20" t="s">
        <v>384</v>
      </c>
      <c r="G194" s="214"/>
      <c r="H194" s="215"/>
      <c r="I194" s="214">
        <f>G194-H194</f>
        <v>0</v>
      </c>
      <c r="J194" s="214"/>
    </row>
    <row r="195" spans="1:10" s="21" customFormat="1" ht="24.75" customHeight="1">
      <c r="A195" s="7" t="s">
        <v>55</v>
      </c>
      <c r="B195" s="20"/>
      <c r="C195" s="20"/>
      <c r="D195" s="20"/>
      <c r="E195" s="20"/>
      <c r="F195" s="20" t="s">
        <v>385</v>
      </c>
      <c r="G195" s="214">
        <v>107250</v>
      </c>
      <c r="H195" s="215"/>
      <c r="I195" s="214">
        <f>G195-H195</f>
        <v>107250</v>
      </c>
      <c r="J195" s="214"/>
    </row>
    <row r="196" spans="1:10" s="21" customFormat="1" ht="15.75" customHeight="1">
      <c r="A196" s="87" t="s">
        <v>56</v>
      </c>
      <c r="B196" s="20" t="s">
        <v>145</v>
      </c>
      <c r="C196" s="20" t="s">
        <v>232</v>
      </c>
      <c r="D196" s="20" t="s">
        <v>175</v>
      </c>
      <c r="E196" s="20" t="s">
        <v>57</v>
      </c>
      <c r="F196" s="20"/>
      <c r="G196" s="214">
        <f>G197+G198+G200</f>
        <v>37500</v>
      </c>
      <c r="H196" s="215">
        <f>H197+H198+H200</f>
        <v>8615</v>
      </c>
      <c r="I196" s="214">
        <f>I197+I198+I200</f>
        <v>28885</v>
      </c>
      <c r="J196" s="214">
        <f>J197+J198+J200</f>
        <v>0</v>
      </c>
    </row>
    <row r="197" spans="1:10" s="21" customFormat="1" ht="24.75" customHeight="1">
      <c r="A197" s="7" t="s">
        <v>357</v>
      </c>
      <c r="B197" s="20"/>
      <c r="C197" s="20"/>
      <c r="D197" s="20"/>
      <c r="E197" s="20"/>
      <c r="F197" s="20" t="s">
        <v>386</v>
      </c>
      <c r="G197" s="214"/>
      <c r="H197" s="215"/>
      <c r="I197" s="214">
        <f>G197-H197</f>
        <v>0</v>
      </c>
      <c r="J197" s="214"/>
    </row>
    <row r="198" spans="1:10" s="21" customFormat="1" ht="12.75" customHeight="1">
      <c r="A198" s="7" t="s">
        <v>358</v>
      </c>
      <c r="B198" s="20"/>
      <c r="C198" s="20"/>
      <c r="D198" s="20"/>
      <c r="E198" s="20"/>
      <c r="F198" s="20" t="s">
        <v>387</v>
      </c>
      <c r="G198" s="214"/>
      <c r="H198" s="215"/>
      <c r="I198" s="214">
        <f>G198-H198</f>
        <v>0</v>
      </c>
      <c r="J198" s="214"/>
    </row>
    <row r="199" spans="1:10" s="21" customFormat="1" ht="14.25" customHeight="1">
      <c r="A199" s="7" t="s">
        <v>359</v>
      </c>
      <c r="B199" s="20"/>
      <c r="C199" s="20"/>
      <c r="D199" s="20"/>
      <c r="E199" s="20"/>
      <c r="F199" s="20" t="s">
        <v>388</v>
      </c>
      <c r="G199" s="214"/>
      <c r="H199" s="215"/>
      <c r="I199" s="214">
        <f>G199-H199</f>
        <v>0</v>
      </c>
      <c r="J199" s="214"/>
    </row>
    <row r="200" spans="1:10" s="21" customFormat="1" ht="24" customHeight="1">
      <c r="A200" s="7" t="s">
        <v>61</v>
      </c>
      <c r="B200" s="20"/>
      <c r="C200" s="20"/>
      <c r="D200" s="20"/>
      <c r="E200" s="20"/>
      <c r="F200" s="20" t="s">
        <v>389</v>
      </c>
      <c r="G200" s="214">
        <v>37500</v>
      </c>
      <c r="H200" s="215">
        <f>8615</f>
        <v>8615</v>
      </c>
      <c r="I200" s="214">
        <f>G200-H200</f>
        <v>28885</v>
      </c>
      <c r="J200" s="214"/>
    </row>
    <row r="201" spans="1:10" s="32" customFormat="1" ht="15" customHeight="1">
      <c r="A201" s="111" t="s">
        <v>86</v>
      </c>
      <c r="B201" s="48" t="s">
        <v>146</v>
      </c>
      <c r="C201" s="48" t="s">
        <v>82</v>
      </c>
      <c r="D201" s="48" t="s">
        <v>2</v>
      </c>
      <c r="E201" s="48" t="s">
        <v>2</v>
      </c>
      <c r="F201" s="48"/>
      <c r="G201" s="217">
        <f>G258+G202</f>
        <v>7215290</v>
      </c>
      <c r="H201" s="218">
        <f>H258+H202</f>
        <v>3777194.34</v>
      </c>
      <c r="I201" s="217">
        <f>I258+I202</f>
        <v>3438095.66</v>
      </c>
      <c r="J201" s="217">
        <f>J258+J202</f>
        <v>0</v>
      </c>
    </row>
    <row r="202" spans="1:10" s="86" customFormat="1" ht="12.75" customHeight="1">
      <c r="A202" s="47" t="s">
        <v>174</v>
      </c>
      <c r="B202" s="121" t="s">
        <v>146</v>
      </c>
      <c r="C202" s="121" t="s">
        <v>82</v>
      </c>
      <c r="D202" s="121" t="s">
        <v>175</v>
      </c>
      <c r="E202" s="121" t="s">
        <v>2</v>
      </c>
      <c r="F202" s="121"/>
      <c r="G202" s="217">
        <f>G203+G210+G246+G248+G243</f>
        <v>6991751</v>
      </c>
      <c r="H202" s="217">
        <f>H203+H210+H246+H248+H243</f>
        <v>3622853.3899999997</v>
      </c>
      <c r="I202" s="217">
        <f>I203+I210+I246+I248+I243</f>
        <v>3368897.6100000003</v>
      </c>
      <c r="J202" s="217">
        <f>J203+J210+J246+J248+J243</f>
        <v>0</v>
      </c>
    </row>
    <row r="203" spans="1:10" s="45" customFormat="1" ht="13.5" customHeight="1">
      <c r="A203" s="43" t="s">
        <v>4</v>
      </c>
      <c r="B203" s="44" t="s">
        <v>146</v>
      </c>
      <c r="C203" s="44" t="s">
        <v>82</v>
      </c>
      <c r="D203" s="44" t="s">
        <v>175</v>
      </c>
      <c r="E203" s="44" t="s">
        <v>5</v>
      </c>
      <c r="F203" s="44"/>
      <c r="G203" s="197">
        <f>SUM(G209,G204)+G205</f>
        <v>2489897.9</v>
      </c>
      <c r="H203" s="198">
        <f>SUM(H209,H204)+H205</f>
        <v>1836458.87</v>
      </c>
      <c r="I203" s="197">
        <f>SUM(I209,I204)+I205</f>
        <v>653439.0299999999</v>
      </c>
      <c r="J203" s="197">
        <f>SUM(J209,J204)+J205</f>
        <v>0</v>
      </c>
    </row>
    <row r="204" spans="1:10" s="28" customFormat="1" ht="12.75">
      <c r="A204" s="87" t="s">
        <v>6</v>
      </c>
      <c r="B204" s="27" t="s">
        <v>146</v>
      </c>
      <c r="C204" s="27" t="s">
        <v>82</v>
      </c>
      <c r="D204" s="27" t="s">
        <v>175</v>
      </c>
      <c r="E204" s="27" t="s">
        <v>7</v>
      </c>
      <c r="F204" s="27" t="s">
        <v>369</v>
      </c>
      <c r="G204" s="201">
        <f>1914950</f>
        <v>1914950</v>
      </c>
      <c r="H204" s="202">
        <f>76905+578381.15+25126.08+407+26170.91-26170.91+2238.33+20570.59+112848.87+26170.91+51000+66011+264434.61+247000</f>
        <v>1471093.54</v>
      </c>
      <c r="I204" s="201">
        <f>G204-H204</f>
        <v>443856.45999999996</v>
      </c>
      <c r="J204" s="201"/>
    </row>
    <row r="205" spans="1:10" s="28" customFormat="1" ht="12.75">
      <c r="A205" s="87" t="s">
        <v>8</v>
      </c>
      <c r="B205" s="27" t="s">
        <v>146</v>
      </c>
      <c r="C205" s="27" t="s">
        <v>82</v>
      </c>
      <c r="D205" s="27" t="s">
        <v>175</v>
      </c>
      <c r="E205" s="27" t="s">
        <v>9</v>
      </c>
      <c r="F205" s="27"/>
      <c r="G205" s="201">
        <f>SUM(G206:G208)</f>
        <v>73231</v>
      </c>
      <c r="H205" s="202">
        <f>SUM(H206:H208)</f>
        <v>73020</v>
      </c>
      <c r="I205" s="201">
        <f>SUM(I206:I208)</f>
        <v>211</v>
      </c>
      <c r="J205" s="201">
        <f>SUM(J206:J208)</f>
        <v>0</v>
      </c>
    </row>
    <row r="206" spans="1:10" ht="12.75">
      <c r="A206" s="11" t="s">
        <v>360</v>
      </c>
      <c r="B206" s="4"/>
      <c r="C206" s="4"/>
      <c r="D206" s="4"/>
      <c r="E206" s="4"/>
      <c r="F206" s="4" t="s">
        <v>371</v>
      </c>
      <c r="G206" s="200">
        <v>18231</v>
      </c>
      <c r="H206" s="199">
        <f>2550+510+680+680+850+850+680+680+340+510+1530+2380+680+680+1360+510+510+680+1360</f>
        <v>18020</v>
      </c>
      <c r="I206" s="200">
        <f>G206-H206</f>
        <v>211</v>
      </c>
      <c r="J206" s="200"/>
    </row>
    <row r="207" spans="1:10" ht="12.75" customHeight="1">
      <c r="A207" s="12" t="s">
        <v>343</v>
      </c>
      <c r="B207" s="4"/>
      <c r="C207" s="4"/>
      <c r="D207" s="4"/>
      <c r="E207" s="4"/>
      <c r="F207" s="4" t="s">
        <v>390</v>
      </c>
      <c r="G207" s="200"/>
      <c r="H207" s="199"/>
      <c r="I207" s="200">
        <f>G207-H207</f>
        <v>0</v>
      </c>
      <c r="J207" s="200"/>
    </row>
    <row r="208" spans="1:10" ht="12.75" customHeight="1">
      <c r="A208" s="6" t="s">
        <v>361</v>
      </c>
      <c r="B208" s="4"/>
      <c r="C208" s="4"/>
      <c r="D208" s="4"/>
      <c r="E208" s="4"/>
      <c r="F208" s="4" t="s">
        <v>370</v>
      </c>
      <c r="G208" s="200">
        <v>55000</v>
      </c>
      <c r="H208" s="199">
        <f>20000+35000</f>
        <v>55000</v>
      </c>
      <c r="I208" s="200">
        <f>G208-H208</f>
        <v>0</v>
      </c>
      <c r="J208" s="200"/>
    </row>
    <row r="209" spans="1:10" s="28" customFormat="1" ht="12.75">
      <c r="A209" s="87" t="s">
        <v>13</v>
      </c>
      <c r="B209" s="27" t="s">
        <v>146</v>
      </c>
      <c r="C209" s="27" t="s">
        <v>82</v>
      </c>
      <c r="D209" s="27" t="s">
        <v>175</v>
      </c>
      <c r="E209" s="27" t="s">
        <v>14</v>
      </c>
      <c r="F209" s="27" t="s">
        <v>369</v>
      </c>
      <c r="G209" s="201">
        <f>G204*26.2%</f>
        <v>501716.9</v>
      </c>
      <c r="H209" s="202">
        <f>16141.78+17587.39+12129.24+6671.08+1212.93+7729.3+36387.7+68762.88+995.67+5476.21+9956.73+29870.19+14437.26+12714.07+56983.12+62214.51-66924.73</f>
        <v>292345.3300000001</v>
      </c>
      <c r="I209" s="200">
        <f>G209-H209</f>
        <v>209371.56999999995</v>
      </c>
      <c r="J209" s="201">
        <f>J204*26.2%</f>
        <v>0</v>
      </c>
    </row>
    <row r="210" spans="1:10" s="45" customFormat="1" ht="12.75">
      <c r="A210" s="43" t="s">
        <v>15</v>
      </c>
      <c r="B210" s="44" t="s">
        <v>146</v>
      </c>
      <c r="C210" s="44" t="s">
        <v>82</v>
      </c>
      <c r="D210" s="44" t="s">
        <v>175</v>
      </c>
      <c r="E210" s="44" t="s">
        <v>16</v>
      </c>
      <c r="F210" s="44"/>
      <c r="G210" s="197">
        <f>SUM(G211,G212,G215,G220,G226)</f>
        <v>3419728.1</v>
      </c>
      <c r="H210" s="198">
        <f>SUM(H211,H212,H215,H220,H226)</f>
        <v>972106.5099999999</v>
      </c>
      <c r="I210" s="197">
        <f>SUM(I211,I212,I215,I220,I226)</f>
        <v>2447621.5900000003</v>
      </c>
      <c r="J210" s="197">
        <f>SUM(J211,J212,J215,J220,J226)</f>
        <v>0</v>
      </c>
    </row>
    <row r="211" spans="1:10" s="28" customFormat="1" ht="12.75">
      <c r="A211" s="87" t="s">
        <v>341</v>
      </c>
      <c r="B211" s="27" t="s">
        <v>146</v>
      </c>
      <c r="C211" s="27" t="s">
        <v>82</v>
      </c>
      <c r="D211" s="27" t="s">
        <v>175</v>
      </c>
      <c r="E211" s="27" t="s">
        <v>18</v>
      </c>
      <c r="F211" s="27" t="s">
        <v>369</v>
      </c>
      <c r="G211" s="201">
        <v>183153</v>
      </c>
      <c r="H211" s="202">
        <f>203.4+441+474.6+2949+67.8+37.29+7845.4+2300+6854.44+1440+5948.53+441+37.29+67.8+203.4+474.6+2950+864</f>
        <v>33599.55</v>
      </c>
      <c r="I211" s="201">
        <f>G211-H211</f>
        <v>149553.45</v>
      </c>
      <c r="J211" s="201"/>
    </row>
    <row r="212" spans="1:10" s="28" customFormat="1" ht="12.75">
      <c r="A212" s="87" t="s">
        <v>21</v>
      </c>
      <c r="B212" s="27" t="s">
        <v>146</v>
      </c>
      <c r="C212" s="27" t="s">
        <v>82</v>
      </c>
      <c r="D212" s="27" t="s">
        <v>175</v>
      </c>
      <c r="E212" s="27" t="s">
        <v>19</v>
      </c>
      <c r="F212" s="27"/>
      <c r="G212" s="219">
        <f>SUM(G213:G214)</f>
        <v>380950</v>
      </c>
      <c r="H212" s="220">
        <f>SUM(H213:H214)</f>
        <v>202810</v>
      </c>
      <c r="I212" s="219">
        <f>SUM(I213:I214)</f>
        <v>178140</v>
      </c>
      <c r="J212" s="219">
        <f>SUM(J213:J214)</f>
        <v>0</v>
      </c>
    </row>
    <row r="213" spans="1:10" ht="25.5">
      <c r="A213" s="11" t="s">
        <v>344</v>
      </c>
      <c r="B213" s="4"/>
      <c r="C213" s="4"/>
      <c r="D213" s="4"/>
      <c r="E213" s="4"/>
      <c r="F213" s="4" t="s">
        <v>372</v>
      </c>
      <c r="G213" s="200">
        <v>120950</v>
      </c>
      <c r="H213" s="199">
        <f>8630+8980+5400+8630+20000+8630+8630+8630+11970+9210+9970+9970</f>
        <v>118650</v>
      </c>
      <c r="I213" s="200">
        <f>G213-H213</f>
        <v>2300</v>
      </c>
      <c r="J213" s="200"/>
    </row>
    <row r="214" spans="1:10" ht="38.25">
      <c r="A214" s="8" t="s">
        <v>362</v>
      </c>
      <c r="B214" s="4"/>
      <c r="C214" s="4"/>
      <c r="D214" s="4"/>
      <c r="E214" s="4"/>
      <c r="F214" s="4" t="s">
        <v>374</v>
      </c>
      <c r="G214" s="200">
        <f>65000+195000</f>
        <v>260000</v>
      </c>
      <c r="H214" s="199">
        <f>20000+26100+8400+7800+1200+660+20000</f>
        <v>84160</v>
      </c>
      <c r="I214" s="200">
        <f>G214-H214</f>
        <v>175840</v>
      </c>
      <c r="J214" s="200"/>
    </row>
    <row r="215" spans="1:10" s="28" customFormat="1" ht="12.75">
      <c r="A215" s="87" t="s">
        <v>23</v>
      </c>
      <c r="B215" s="27" t="s">
        <v>146</v>
      </c>
      <c r="C215" s="27" t="s">
        <v>82</v>
      </c>
      <c r="D215" s="27" t="s">
        <v>175</v>
      </c>
      <c r="E215" s="27" t="s">
        <v>24</v>
      </c>
      <c r="F215" s="27"/>
      <c r="G215" s="219">
        <f>SUM(G216:G218)</f>
        <v>1670650.1</v>
      </c>
      <c r="H215" s="220">
        <f>SUM(H216:H218)</f>
        <v>0</v>
      </c>
      <c r="I215" s="219">
        <f>SUM(I216:I218)</f>
        <v>1670650.1</v>
      </c>
      <c r="J215" s="219">
        <f>SUM(J216:J218)</f>
        <v>0</v>
      </c>
    </row>
    <row r="216" spans="1:10" ht="12.75" customHeight="1">
      <c r="A216" s="7" t="s">
        <v>345</v>
      </c>
      <c r="B216" s="4"/>
      <c r="C216" s="4"/>
      <c r="D216" s="4"/>
      <c r="E216" s="4"/>
      <c r="F216" s="4" t="s">
        <v>373</v>
      </c>
      <c r="G216" s="200">
        <v>1608785</v>
      </c>
      <c r="H216" s="199"/>
      <c r="I216" s="200">
        <f>G216-H216</f>
        <v>1608785</v>
      </c>
      <c r="J216" s="200"/>
    </row>
    <row r="217" spans="1:10" ht="12.75" customHeight="1">
      <c r="A217" s="7" t="s">
        <v>346</v>
      </c>
      <c r="B217" s="4"/>
      <c r="C217" s="4"/>
      <c r="D217" s="4"/>
      <c r="E217" s="4"/>
      <c r="F217" s="4" t="s">
        <v>375</v>
      </c>
      <c r="G217" s="200">
        <v>47300</v>
      </c>
      <c r="H217" s="199"/>
      <c r="I217" s="200">
        <f>G217-H217</f>
        <v>47300</v>
      </c>
      <c r="J217" s="200"/>
    </row>
    <row r="218" spans="1:10" ht="12.75">
      <c r="A218" s="7" t="s">
        <v>347</v>
      </c>
      <c r="B218" s="4"/>
      <c r="C218" s="4"/>
      <c r="D218" s="4"/>
      <c r="E218" s="4"/>
      <c r="F218" s="4" t="s">
        <v>376</v>
      </c>
      <c r="G218" s="200">
        <f>12630+1935+0.1</f>
        <v>14565.1</v>
      </c>
      <c r="H218" s="199"/>
      <c r="I218" s="200">
        <f>G218-H218</f>
        <v>14565.1</v>
      </c>
      <c r="J218" s="200"/>
    </row>
    <row r="219" spans="1:10" s="28" customFormat="1" ht="15" customHeight="1">
      <c r="A219" s="87" t="s">
        <v>28</v>
      </c>
      <c r="B219" s="27" t="s">
        <v>146</v>
      </c>
      <c r="C219" s="27" t="s">
        <v>82</v>
      </c>
      <c r="D219" s="27" t="s">
        <v>175</v>
      </c>
      <c r="E219" s="27" t="s">
        <v>29</v>
      </c>
      <c r="F219" s="27"/>
      <c r="G219" s="201"/>
      <c r="H219" s="202"/>
      <c r="I219" s="200">
        <f>G219-H219</f>
        <v>0</v>
      </c>
      <c r="J219" s="201"/>
    </row>
    <row r="220" spans="1:10" s="28" customFormat="1" ht="12.75">
      <c r="A220" s="87" t="s">
        <v>30</v>
      </c>
      <c r="B220" s="27" t="s">
        <v>146</v>
      </c>
      <c r="C220" s="27" t="s">
        <v>82</v>
      </c>
      <c r="D220" s="27" t="s">
        <v>175</v>
      </c>
      <c r="E220" s="27" t="s">
        <v>31</v>
      </c>
      <c r="F220" s="27"/>
      <c r="G220" s="214">
        <f>SUM(G221:G225)</f>
        <v>419130</v>
      </c>
      <c r="H220" s="215">
        <f>SUM(H221:H225)</f>
        <v>175539.6</v>
      </c>
      <c r="I220" s="214">
        <f>SUM(I221:I225)</f>
        <v>243590.4</v>
      </c>
      <c r="J220" s="214">
        <f>SUM(J221:J225)</f>
        <v>0</v>
      </c>
    </row>
    <row r="221" spans="1:10" s="18" customFormat="1" ht="12.75">
      <c r="A221" s="7" t="s">
        <v>348</v>
      </c>
      <c r="B221" s="17"/>
      <c r="C221" s="17"/>
      <c r="D221" s="17"/>
      <c r="E221" s="17"/>
      <c r="F221" s="17" t="s">
        <v>377</v>
      </c>
      <c r="G221" s="186">
        <v>96450</v>
      </c>
      <c r="H221" s="213">
        <f>115+345+575+5002+230+63.25+748+5002-5002+230+575+345+115+63.25+747+5003</f>
        <v>14156.5</v>
      </c>
      <c r="I221" s="186">
        <f>G221-H221</f>
        <v>82293.5</v>
      </c>
      <c r="J221" s="186"/>
    </row>
    <row r="222" spans="1:10" s="18" customFormat="1" ht="12.75">
      <c r="A222" s="7" t="s">
        <v>349</v>
      </c>
      <c r="B222" s="17"/>
      <c r="C222" s="17"/>
      <c r="D222" s="17"/>
      <c r="E222" s="17"/>
      <c r="F222" s="17" t="s">
        <v>376</v>
      </c>
      <c r="G222" s="186"/>
      <c r="H222" s="213"/>
      <c r="I222" s="186">
        <f>G222-H222</f>
        <v>0</v>
      </c>
      <c r="J222" s="186"/>
    </row>
    <row r="223" spans="1:10" s="18" customFormat="1" ht="25.5">
      <c r="A223" s="7" t="s">
        <v>350</v>
      </c>
      <c r="B223" s="17"/>
      <c r="C223" s="17"/>
      <c r="D223" s="17"/>
      <c r="E223" s="17"/>
      <c r="F223" s="17" t="s">
        <v>379</v>
      </c>
      <c r="G223" s="186">
        <v>22680</v>
      </c>
      <c r="H223" s="213">
        <f>161+1047+483+1127+7003+88.55+1046+88.55+161+483+1127+7004</f>
        <v>19819.1</v>
      </c>
      <c r="I223" s="186">
        <f>G223-H223</f>
        <v>2860.9000000000015</v>
      </c>
      <c r="J223" s="186"/>
    </row>
    <row r="224" spans="1:10" s="18" customFormat="1" ht="12.75">
      <c r="A224" s="7" t="s">
        <v>351</v>
      </c>
      <c r="B224" s="17"/>
      <c r="C224" s="17"/>
      <c r="D224" s="17"/>
      <c r="E224" s="17"/>
      <c r="F224" s="17" t="s">
        <v>380</v>
      </c>
      <c r="G224" s="186">
        <f>150000+150000</f>
        <v>300000</v>
      </c>
      <c r="H224" s="213">
        <f>736+4784+3680+2208+32016+1472+404.8-32016+32016-32016+1564+9384+4692+1564+860.2+10165+34017+32016+34017</f>
        <v>141564</v>
      </c>
      <c r="I224" s="186">
        <f>G224-H224</f>
        <v>158436</v>
      </c>
      <c r="J224" s="186"/>
    </row>
    <row r="225" spans="1:10" s="18" customFormat="1" ht="37.5" customHeight="1">
      <c r="A225" s="7" t="s">
        <v>363</v>
      </c>
      <c r="B225" s="17"/>
      <c r="C225" s="17"/>
      <c r="D225" s="17"/>
      <c r="E225" s="17"/>
      <c r="F225" s="17"/>
      <c r="G225" s="186">
        <v>0</v>
      </c>
      <c r="H225" s="213">
        <v>0</v>
      </c>
      <c r="I225" s="186">
        <v>0</v>
      </c>
      <c r="J225" s="186">
        <v>0</v>
      </c>
    </row>
    <row r="226" spans="1:10" s="28" customFormat="1" ht="12.75">
      <c r="A226" s="87" t="s">
        <v>37</v>
      </c>
      <c r="B226" s="27" t="s">
        <v>146</v>
      </c>
      <c r="C226" s="27" t="s">
        <v>82</v>
      </c>
      <c r="D226" s="27" t="s">
        <v>175</v>
      </c>
      <c r="E226" s="27" t="s">
        <v>38</v>
      </c>
      <c r="F226" s="27"/>
      <c r="G226" s="201">
        <f>SUM(G227:G229)</f>
        <v>765845</v>
      </c>
      <c r="H226" s="202">
        <f>SUM(H227:H229)</f>
        <v>560157.3599999999</v>
      </c>
      <c r="I226" s="201">
        <f>SUM(I227:I229)</f>
        <v>205687.64</v>
      </c>
      <c r="J226" s="201">
        <f>SUM(J227:J229)</f>
        <v>0</v>
      </c>
    </row>
    <row r="227" spans="1:10" s="21" customFormat="1" ht="38.25">
      <c r="A227" s="11" t="s">
        <v>352</v>
      </c>
      <c r="B227" s="20"/>
      <c r="C227" s="20"/>
      <c r="D227" s="20"/>
      <c r="E227" s="20"/>
      <c r="F227" s="153" t="s">
        <v>381</v>
      </c>
      <c r="G227" s="214">
        <v>100380</v>
      </c>
      <c r="H227" s="215">
        <f>25100+4019.95+16800+3900+11100+16800+3300</f>
        <v>81019.95</v>
      </c>
      <c r="I227" s="214">
        <f>G227-H227</f>
        <v>19360.050000000003</v>
      </c>
      <c r="J227" s="214"/>
    </row>
    <row r="228" spans="1:10" s="21" customFormat="1" ht="38.25">
      <c r="A228" s="19" t="s">
        <v>353</v>
      </c>
      <c r="B228" s="20"/>
      <c r="C228" s="20"/>
      <c r="D228" s="20"/>
      <c r="E228" s="20"/>
      <c r="F228" s="20" t="s">
        <v>391</v>
      </c>
      <c r="G228" s="214">
        <v>5600</v>
      </c>
      <c r="H228" s="213">
        <v>0</v>
      </c>
      <c r="I228" s="186">
        <f>G228-H228</f>
        <v>5600</v>
      </c>
      <c r="J228" s="186">
        <v>0</v>
      </c>
    </row>
    <row r="229" spans="1:10" s="21" customFormat="1" ht="25.5" customHeight="1">
      <c r="A229" s="12" t="s">
        <v>364</v>
      </c>
      <c r="B229" s="20"/>
      <c r="C229" s="20"/>
      <c r="D229" s="20"/>
      <c r="E229" s="20"/>
      <c r="F229" s="20" t="s">
        <v>382</v>
      </c>
      <c r="G229" s="214">
        <f>G230+G231+G232+G233+G234+G235+G236+G237+G238+G239+G240+G241+G242</f>
        <v>659865</v>
      </c>
      <c r="H229" s="215">
        <f>H230+H231+H232+H233+H234+H235+H236+H237+H238+H239+H240+H241+H242</f>
        <v>479137.4099999999</v>
      </c>
      <c r="I229" s="214">
        <f>I230+I231+I232+I233+I234+I235+I236+I237+I238+I239+I240+I241+I242</f>
        <v>180727.59000000003</v>
      </c>
      <c r="J229" s="214">
        <f>J230+J231+J232+J233+J234+J235+J236+J237+J238+J239+J240+J241+J242</f>
        <v>0</v>
      </c>
    </row>
    <row r="230" spans="1:10" s="21" customFormat="1" ht="12.75" customHeight="1">
      <c r="A230" s="168" t="s">
        <v>318</v>
      </c>
      <c r="B230" s="20"/>
      <c r="C230" s="20"/>
      <c r="D230" s="20"/>
      <c r="E230" s="20"/>
      <c r="F230" s="20"/>
      <c r="G230" s="186"/>
      <c r="H230" s="213">
        <v>150</v>
      </c>
      <c r="I230" s="186">
        <f>G230-H230</f>
        <v>-150</v>
      </c>
      <c r="J230" s="186"/>
    </row>
    <row r="231" spans="1:10" s="21" customFormat="1" ht="18" customHeight="1">
      <c r="A231" s="168" t="s">
        <v>319</v>
      </c>
      <c r="B231" s="20"/>
      <c r="C231" s="20"/>
      <c r="D231" s="20"/>
      <c r="E231" s="20"/>
      <c r="F231" s="20"/>
      <c r="G231" s="186">
        <v>44275</v>
      </c>
      <c r="H231" s="213"/>
      <c r="I231" s="186">
        <f aca="true" t="shared" si="1" ref="I231:I244">G231-H231</f>
        <v>44275</v>
      </c>
      <c r="J231" s="186"/>
    </row>
    <row r="232" spans="1:10" s="21" customFormat="1" ht="12.75" customHeight="1">
      <c r="A232" s="168" t="s">
        <v>320</v>
      </c>
      <c r="B232" s="20"/>
      <c r="C232" s="20"/>
      <c r="D232" s="20"/>
      <c r="E232" s="20"/>
      <c r="F232" s="20"/>
      <c r="G232" s="186">
        <v>3990</v>
      </c>
      <c r="H232" s="213"/>
      <c r="I232" s="186">
        <f t="shared" si="1"/>
        <v>3990</v>
      </c>
      <c r="J232" s="186"/>
    </row>
    <row r="233" spans="1:10" s="21" customFormat="1" ht="12.75" customHeight="1">
      <c r="A233" s="168" t="s">
        <v>321</v>
      </c>
      <c r="B233" s="20"/>
      <c r="C233" s="20"/>
      <c r="D233" s="20"/>
      <c r="E233" s="20"/>
      <c r="F233" s="20"/>
      <c r="G233" s="186">
        <v>25330</v>
      </c>
      <c r="H233" s="213">
        <f>11248.07</f>
        <v>11248.07</v>
      </c>
      <c r="I233" s="186">
        <f t="shared" si="1"/>
        <v>14081.93</v>
      </c>
      <c r="J233" s="186"/>
    </row>
    <row r="234" spans="1:10" s="21" customFormat="1" ht="15.75" customHeight="1">
      <c r="A234" s="168" t="s">
        <v>322</v>
      </c>
      <c r="B234" s="20"/>
      <c r="C234" s="20"/>
      <c r="D234" s="20"/>
      <c r="E234" s="20"/>
      <c r="F234" s="20"/>
      <c r="G234" s="186">
        <v>38200</v>
      </c>
      <c r="H234" s="262">
        <f>6585.86+7.7+3208.53+733.12+645.72+324.71+619.23+1537.56+246.29+1805+392.03+5696.15+297.97+140.6+954.38+511.67+237.5+44.89+1805+2551.28+4.85+929.55+6.46+183.16+2700.29</f>
        <v>32169.499999999996</v>
      </c>
      <c r="I234" s="186">
        <f t="shared" si="1"/>
        <v>6030.500000000004</v>
      </c>
      <c r="J234" s="186"/>
    </row>
    <row r="235" spans="1:10" s="21" customFormat="1" ht="13.5" customHeight="1">
      <c r="A235" s="168" t="s">
        <v>323</v>
      </c>
      <c r="B235" s="20"/>
      <c r="C235" s="20"/>
      <c r="D235" s="20"/>
      <c r="E235" s="20"/>
      <c r="F235" s="20"/>
      <c r="G235" s="186">
        <v>47000</v>
      </c>
      <c r="H235" s="213"/>
      <c r="I235" s="186">
        <f t="shared" si="1"/>
        <v>47000</v>
      </c>
      <c r="J235" s="186"/>
    </row>
    <row r="236" spans="1:10" s="21" customFormat="1" ht="13.5" customHeight="1">
      <c r="A236" s="168" t="s">
        <v>324</v>
      </c>
      <c r="B236" s="20"/>
      <c r="C236" s="20"/>
      <c r="D236" s="20"/>
      <c r="E236" s="20"/>
      <c r="F236" s="20"/>
      <c r="G236" s="186">
        <f>25800+84000</f>
        <v>109800</v>
      </c>
      <c r="H236" s="262">
        <f>6692+7564+1130+95.63+173.88+537.84+869.4+347.76+1000+769.2+84.61+461.52+153.84+307.68</f>
        <v>20187.36</v>
      </c>
      <c r="I236" s="186">
        <f t="shared" si="1"/>
        <v>89612.64</v>
      </c>
      <c r="J236" s="186"/>
    </row>
    <row r="237" spans="1:10" s="21" customFormat="1" ht="18.75" customHeight="1">
      <c r="A237" s="168" t="s">
        <v>325</v>
      </c>
      <c r="B237" s="20"/>
      <c r="C237" s="20"/>
      <c r="D237" s="20"/>
      <c r="E237" s="20"/>
      <c r="F237" s="20"/>
      <c r="G237" s="186">
        <v>43750</v>
      </c>
      <c r="H237" s="213">
        <f>12776.39</f>
        <v>12776.39</v>
      </c>
      <c r="I237" s="186">
        <f t="shared" si="1"/>
        <v>30973.61</v>
      </c>
      <c r="J237" s="186"/>
    </row>
    <row r="238" spans="1:10" s="21" customFormat="1" ht="15.75" customHeight="1">
      <c r="A238" s="168" t="s">
        <v>326</v>
      </c>
      <c r="B238" s="20"/>
      <c r="C238" s="20"/>
      <c r="D238" s="20"/>
      <c r="E238" s="20"/>
      <c r="F238" s="20"/>
      <c r="G238" s="186">
        <v>24280</v>
      </c>
      <c r="H238" s="213">
        <f>4000+721.74+1825.41+2000+1584.8</f>
        <v>10131.949999999999</v>
      </c>
      <c r="I238" s="186">
        <f t="shared" si="1"/>
        <v>14148.050000000001</v>
      </c>
      <c r="J238" s="186"/>
    </row>
    <row r="239" spans="1:10" s="21" customFormat="1" ht="17.25" customHeight="1">
      <c r="A239" s="168" t="s">
        <v>327</v>
      </c>
      <c r="B239" s="20"/>
      <c r="C239" s="20"/>
      <c r="D239" s="20"/>
      <c r="E239" s="20"/>
      <c r="F239" s="20"/>
      <c r="G239" s="186">
        <v>188570</v>
      </c>
      <c r="H239" s="213"/>
      <c r="I239" s="186">
        <f t="shared" si="1"/>
        <v>188570</v>
      </c>
      <c r="J239" s="186"/>
    </row>
    <row r="240" spans="1:10" s="21" customFormat="1" ht="12.75" customHeight="1">
      <c r="A240" s="168" t="s">
        <v>328</v>
      </c>
      <c r="B240" s="20"/>
      <c r="C240" s="20"/>
      <c r="D240" s="20"/>
      <c r="E240" s="20"/>
      <c r="F240" s="20"/>
      <c r="G240" s="186">
        <v>2070</v>
      </c>
      <c r="H240" s="213">
        <f>1020</f>
        <v>1020</v>
      </c>
      <c r="I240" s="186">
        <f t="shared" si="1"/>
        <v>1050</v>
      </c>
      <c r="J240" s="186"/>
    </row>
    <row r="241" spans="1:10" s="21" customFormat="1" ht="16.5" customHeight="1">
      <c r="A241" s="168" t="s">
        <v>329</v>
      </c>
      <c r="B241" s="20"/>
      <c r="C241" s="20"/>
      <c r="D241" s="20"/>
      <c r="E241" s="20"/>
      <c r="F241" s="20"/>
      <c r="G241" s="186">
        <v>7600</v>
      </c>
      <c r="H241" s="213"/>
      <c r="I241" s="186">
        <f t="shared" si="1"/>
        <v>7600</v>
      </c>
      <c r="J241" s="186"/>
    </row>
    <row r="242" spans="1:10" s="21" customFormat="1" ht="13.5" customHeight="1">
      <c r="A242" s="168" t="s">
        <v>330</v>
      </c>
      <c r="B242" s="20"/>
      <c r="C242" s="20"/>
      <c r="D242" s="20"/>
      <c r="E242" s="20"/>
      <c r="F242" s="20"/>
      <c r="G242" s="186">
        <v>125000</v>
      </c>
      <c r="H242" s="213">
        <f>6790.95+300.2+8790+10928+2949+3001+3001+14703+7003+9700+10005+924.44+2001+2001+3001+5042.4+8629.34-3001-3001+2975.6+3001+35992.78+1680.8+4002+8352+3001+2417.71+7395.26+4189.36+1401.85+771.02+9111+4350+5265.63+2950+10005+3002+10005+2001+2001+4002+3002+6786+3002+8004+5734.8+3600+10000+130684</f>
        <v>391454.13999999996</v>
      </c>
      <c r="I242" s="186">
        <f t="shared" si="1"/>
        <v>-266454.13999999996</v>
      </c>
      <c r="J242" s="186"/>
    </row>
    <row r="243" spans="1:10" s="45" customFormat="1" ht="12.75">
      <c r="A243" s="43" t="s">
        <v>42</v>
      </c>
      <c r="B243" s="44" t="s">
        <v>146</v>
      </c>
      <c r="C243" s="44" t="s">
        <v>82</v>
      </c>
      <c r="D243" s="44" t="s">
        <v>175</v>
      </c>
      <c r="E243" s="44" t="s">
        <v>43</v>
      </c>
      <c r="F243" s="44"/>
      <c r="G243" s="197">
        <f>G244</f>
        <v>435500</v>
      </c>
      <c r="H243" s="197">
        <f>H244</f>
        <v>405351.92000000004</v>
      </c>
      <c r="I243" s="197">
        <f>I244</f>
        <v>30148.079999999958</v>
      </c>
      <c r="J243" s="197"/>
    </row>
    <row r="244" spans="1:10" s="28" customFormat="1" ht="12.75">
      <c r="A244" s="87" t="s">
        <v>44</v>
      </c>
      <c r="B244" s="27" t="s">
        <v>146</v>
      </c>
      <c r="C244" s="27" t="s">
        <v>82</v>
      </c>
      <c r="D244" s="27" t="s">
        <v>175</v>
      </c>
      <c r="E244" s="27" t="s">
        <v>45</v>
      </c>
      <c r="F244" s="27" t="s">
        <v>414</v>
      </c>
      <c r="G244" s="201">
        <f>435500</f>
        <v>435500</v>
      </c>
      <c r="H244" s="202">
        <f>43251+39339.22+665.4+1987.87+272945.55+7238.84+19962.02+3659.7+6654.01+9648.31</f>
        <v>405351.92000000004</v>
      </c>
      <c r="I244" s="186">
        <f t="shared" si="1"/>
        <v>30148.079999999958</v>
      </c>
      <c r="J244" s="201"/>
    </row>
    <row r="245" spans="1:10" s="21" customFormat="1" ht="12.75">
      <c r="A245" s="6" t="s">
        <v>355</v>
      </c>
      <c r="B245" s="20"/>
      <c r="C245" s="20"/>
      <c r="D245" s="20"/>
      <c r="E245" s="20"/>
      <c r="F245" s="20"/>
      <c r="G245" s="214"/>
      <c r="H245" s="215"/>
      <c r="I245" s="214"/>
      <c r="J245" s="214"/>
    </row>
    <row r="246" spans="1:10" s="45" customFormat="1" ht="12.75">
      <c r="A246" s="43" t="s">
        <v>47</v>
      </c>
      <c r="B246" s="44" t="s">
        <v>146</v>
      </c>
      <c r="C246" s="44" t="s">
        <v>82</v>
      </c>
      <c r="D246" s="44" t="s">
        <v>175</v>
      </c>
      <c r="E246" s="44" t="s">
        <v>48</v>
      </c>
      <c r="F246" s="44"/>
      <c r="G246" s="197">
        <f>SUM(G247)</f>
        <v>111250</v>
      </c>
      <c r="H246" s="198">
        <f>SUM(H247)</f>
        <v>32363.260000000002</v>
      </c>
      <c r="I246" s="197">
        <f>SUM(I247)</f>
        <v>78886.73999999999</v>
      </c>
      <c r="J246" s="197">
        <f>SUM(J247)</f>
        <v>0</v>
      </c>
    </row>
    <row r="247" spans="1:10" s="21" customFormat="1" ht="27.75" customHeight="1">
      <c r="A247" s="12" t="s">
        <v>354</v>
      </c>
      <c r="B247" s="20"/>
      <c r="C247" s="20"/>
      <c r="D247" s="20"/>
      <c r="E247" s="20"/>
      <c r="F247" s="153" t="s">
        <v>383</v>
      </c>
      <c r="G247" s="214">
        <v>111250</v>
      </c>
      <c r="H247" s="215">
        <f>887.88+5094.07+1473+16030+3036+3189+2653.31</f>
        <v>32363.260000000002</v>
      </c>
      <c r="I247" s="214">
        <f>G247-H247</f>
        <v>78886.73999999999</v>
      </c>
      <c r="J247" s="214"/>
    </row>
    <row r="248" spans="1:10" s="45" customFormat="1" ht="12.75">
      <c r="A248" s="43" t="s">
        <v>49</v>
      </c>
      <c r="B248" s="44" t="s">
        <v>146</v>
      </c>
      <c r="C248" s="44" t="s">
        <v>82</v>
      </c>
      <c r="D248" s="44" t="s">
        <v>175</v>
      </c>
      <c r="E248" s="44" t="s">
        <v>50</v>
      </c>
      <c r="F248" s="44"/>
      <c r="G248" s="197">
        <f>SUM(G249,G253)</f>
        <v>535375</v>
      </c>
      <c r="H248" s="198">
        <f>SUM(H249,H253)</f>
        <v>376572.83</v>
      </c>
      <c r="I248" s="197">
        <f>SUM(I249,I253)</f>
        <v>158802.16999999998</v>
      </c>
      <c r="J248" s="197">
        <f>SUM(J249,J253)</f>
        <v>0</v>
      </c>
    </row>
    <row r="249" spans="1:10" s="28" customFormat="1" ht="12.75">
      <c r="A249" s="87" t="s">
        <v>51</v>
      </c>
      <c r="B249" s="27" t="s">
        <v>146</v>
      </c>
      <c r="C249" s="27" t="s">
        <v>82</v>
      </c>
      <c r="D249" s="27" t="s">
        <v>175</v>
      </c>
      <c r="E249" s="27" t="s">
        <v>52</v>
      </c>
      <c r="F249" s="27"/>
      <c r="G249" s="201">
        <f>SUM(G250:G252)</f>
        <v>217875</v>
      </c>
      <c r="H249" s="202">
        <f>SUM(H250:H252)</f>
        <v>117355.5</v>
      </c>
      <c r="I249" s="201">
        <f>SUM(I250:I252)</f>
        <v>100519.5</v>
      </c>
      <c r="J249" s="201">
        <f>SUM(J250:J252)</f>
        <v>0</v>
      </c>
    </row>
    <row r="250" spans="1:10" s="21" customFormat="1" ht="12.75">
      <c r="A250" s="7" t="s">
        <v>356</v>
      </c>
      <c r="B250" s="20"/>
      <c r="C250" s="20"/>
      <c r="D250" s="20"/>
      <c r="E250" s="20"/>
      <c r="F250" s="20"/>
      <c r="G250" s="214"/>
      <c r="H250" s="215"/>
      <c r="I250" s="214"/>
      <c r="J250" s="214"/>
    </row>
    <row r="251" spans="1:10" s="21" customFormat="1" ht="38.25" customHeight="1">
      <c r="A251" s="7" t="s">
        <v>54</v>
      </c>
      <c r="B251" s="20"/>
      <c r="C251" s="20"/>
      <c r="D251" s="20"/>
      <c r="E251" s="20"/>
      <c r="F251" s="20" t="s">
        <v>384</v>
      </c>
      <c r="G251" s="214">
        <v>67875</v>
      </c>
      <c r="H251" s="215">
        <f>6085+5300+15881.5+8000+1940+5300</f>
        <v>42506.5</v>
      </c>
      <c r="I251" s="214">
        <f>G251-H251</f>
        <v>25368.5</v>
      </c>
      <c r="J251" s="214"/>
    </row>
    <row r="252" spans="1:10" s="21" customFormat="1" ht="52.5" customHeight="1">
      <c r="A252" s="7" t="s">
        <v>365</v>
      </c>
      <c r="B252" s="20"/>
      <c r="C252" s="20"/>
      <c r="D252" s="20"/>
      <c r="E252" s="20"/>
      <c r="F252" s="20" t="s">
        <v>385</v>
      </c>
      <c r="G252" s="214">
        <f>50000+100000</f>
        <v>150000</v>
      </c>
      <c r="H252" s="215">
        <f>32900+41949</f>
        <v>74849</v>
      </c>
      <c r="I252" s="214">
        <f>G252-H252</f>
        <v>75151</v>
      </c>
      <c r="J252" s="214"/>
    </row>
    <row r="253" spans="1:10" s="28" customFormat="1" ht="14.25" customHeight="1">
      <c r="A253" s="87" t="s">
        <v>56</v>
      </c>
      <c r="B253" s="27" t="s">
        <v>146</v>
      </c>
      <c r="C253" s="27" t="s">
        <v>82</v>
      </c>
      <c r="D253" s="27" t="s">
        <v>175</v>
      </c>
      <c r="E253" s="27" t="s">
        <v>57</v>
      </c>
      <c r="F253" s="27"/>
      <c r="G253" s="201">
        <f>G254+G255+G256+G257</f>
        <v>317500</v>
      </c>
      <c r="H253" s="202">
        <f>H254+H255+H256+H257</f>
        <v>259217.33000000002</v>
      </c>
      <c r="I253" s="201">
        <f>I254+I255+I256+I257</f>
        <v>58282.669999999984</v>
      </c>
      <c r="J253" s="201">
        <f>J254+J255+J256+J257</f>
        <v>0</v>
      </c>
    </row>
    <row r="254" spans="1:10" s="21" customFormat="1" ht="25.5">
      <c r="A254" s="7" t="s">
        <v>357</v>
      </c>
      <c r="B254" s="20"/>
      <c r="C254" s="20"/>
      <c r="D254" s="20"/>
      <c r="E254" s="20"/>
      <c r="F254" s="20" t="s">
        <v>386</v>
      </c>
      <c r="G254" s="214"/>
      <c r="H254" s="215"/>
      <c r="I254" s="214">
        <f>G254-H254</f>
        <v>0</v>
      </c>
      <c r="J254" s="214"/>
    </row>
    <row r="255" spans="1:10" s="21" customFormat="1" ht="12.75">
      <c r="A255" s="7" t="s">
        <v>366</v>
      </c>
      <c r="B255" s="20"/>
      <c r="C255" s="20"/>
      <c r="D255" s="20"/>
      <c r="E255" s="20"/>
      <c r="F255" s="20" t="s">
        <v>387</v>
      </c>
      <c r="G255" s="214"/>
      <c r="H255" s="215"/>
      <c r="I255" s="214">
        <f>G255-H255</f>
        <v>0</v>
      </c>
      <c r="J255" s="214"/>
    </row>
    <row r="256" spans="1:10" s="21" customFormat="1" ht="12.75">
      <c r="A256" s="7" t="s">
        <v>359</v>
      </c>
      <c r="B256" s="20"/>
      <c r="C256" s="20"/>
      <c r="D256" s="20"/>
      <c r="E256" s="20"/>
      <c r="F256" s="20" t="s">
        <v>388</v>
      </c>
      <c r="G256" s="186">
        <v>0</v>
      </c>
      <c r="H256" s="215"/>
      <c r="I256" s="214">
        <f>G256-H256</f>
        <v>0</v>
      </c>
      <c r="J256" s="186">
        <v>0</v>
      </c>
    </row>
    <row r="257" spans="1:10" s="21" customFormat="1" ht="25.5">
      <c r="A257" s="7" t="s">
        <v>367</v>
      </c>
      <c r="B257" s="20"/>
      <c r="C257" s="20"/>
      <c r="D257" s="20"/>
      <c r="E257" s="20"/>
      <c r="F257" s="20" t="s">
        <v>389</v>
      </c>
      <c r="G257" s="214">
        <f>158750+158750</f>
        <v>317500</v>
      </c>
      <c r="H257" s="215">
        <f>1060+500+550+2280+130320+22670.31+12000+7675+234+1900+79348.02+680</f>
        <v>259217.33000000002</v>
      </c>
      <c r="I257" s="214">
        <f>G257-H257</f>
        <v>58282.669999999984</v>
      </c>
      <c r="J257" s="214"/>
    </row>
    <row r="258" spans="1:10" s="21" customFormat="1" ht="12.75">
      <c r="A258" s="117" t="s">
        <v>234</v>
      </c>
      <c r="B258" s="44" t="s">
        <v>146</v>
      </c>
      <c r="C258" s="44" t="s">
        <v>82</v>
      </c>
      <c r="D258" s="44" t="s">
        <v>342</v>
      </c>
      <c r="E258" s="44" t="s">
        <v>2</v>
      </c>
      <c r="F258" s="20"/>
      <c r="G258" s="197">
        <f>G259</f>
        <v>223539</v>
      </c>
      <c r="H258" s="198">
        <f>H259</f>
        <v>154340.95</v>
      </c>
      <c r="I258" s="197">
        <f>I259</f>
        <v>69198.04999999999</v>
      </c>
      <c r="J258" s="197">
        <f>J259</f>
        <v>0</v>
      </c>
    </row>
    <row r="259" spans="1:10" s="21" customFormat="1" ht="12.75">
      <c r="A259" s="123" t="s">
        <v>4</v>
      </c>
      <c r="B259" s="20" t="s">
        <v>146</v>
      </c>
      <c r="C259" s="20" t="s">
        <v>82</v>
      </c>
      <c r="D259" s="20" t="s">
        <v>342</v>
      </c>
      <c r="E259" s="14" t="s">
        <v>5</v>
      </c>
      <c r="F259" s="20"/>
      <c r="G259" s="214">
        <f>G260+G261</f>
        <v>223539</v>
      </c>
      <c r="H259" s="215">
        <f>H260+H261</f>
        <v>154340.95</v>
      </c>
      <c r="I259" s="214">
        <f>I260+I261</f>
        <v>69198.04999999999</v>
      </c>
      <c r="J259" s="214">
        <f>J260+J261</f>
        <v>0</v>
      </c>
    </row>
    <row r="260" spans="1:10" s="21" customFormat="1" ht="12.75">
      <c r="A260" s="118" t="s">
        <v>6</v>
      </c>
      <c r="B260" s="20" t="s">
        <v>146</v>
      </c>
      <c r="C260" s="20" t="s">
        <v>82</v>
      </c>
      <c r="D260" s="20" t="s">
        <v>342</v>
      </c>
      <c r="E260" s="20" t="s">
        <v>7</v>
      </c>
      <c r="F260" s="20" t="s">
        <v>369</v>
      </c>
      <c r="G260" s="214">
        <v>177131</v>
      </c>
      <c r="H260" s="215">
        <f>7676+54840.97+29000+7865+23637.81</f>
        <v>123019.78</v>
      </c>
      <c r="I260" s="214">
        <f>G260-H260</f>
        <v>54111.22</v>
      </c>
      <c r="J260" s="214"/>
    </row>
    <row r="261" spans="1:10" s="21" customFormat="1" ht="12.75">
      <c r="A261" s="118" t="s">
        <v>13</v>
      </c>
      <c r="B261" s="20" t="s">
        <v>146</v>
      </c>
      <c r="C261" s="20" t="s">
        <v>82</v>
      </c>
      <c r="D261" s="20" t="s">
        <v>342</v>
      </c>
      <c r="E261" s="20" t="s">
        <v>14</v>
      </c>
      <c r="F261" s="20" t="s">
        <v>369</v>
      </c>
      <c r="G261" s="214">
        <v>46408</v>
      </c>
      <c r="H261" s="215">
        <f>1712.26+1180.87+649.48+118.09+3542.62+8266.1+121.01+665.53+1210.06+3630.17+1754.58+8470.4</f>
        <v>31321.170000000006</v>
      </c>
      <c r="I261" s="214">
        <f>G261-H261</f>
        <v>15086.829999999994</v>
      </c>
      <c r="J261" s="214"/>
    </row>
    <row r="262" spans="1:10" s="15" customFormat="1" ht="25.5" hidden="1">
      <c r="A262" s="9" t="s">
        <v>87</v>
      </c>
      <c r="B262" s="5" t="s">
        <v>147</v>
      </c>
      <c r="C262" s="5" t="s">
        <v>88</v>
      </c>
      <c r="D262" s="5" t="s">
        <v>2</v>
      </c>
      <c r="E262" s="5"/>
      <c r="F262" s="5"/>
      <c r="G262" s="221"/>
      <c r="H262" s="196"/>
      <c r="I262" s="211"/>
      <c r="J262" s="211"/>
    </row>
    <row r="263" spans="1:10" s="72" customFormat="1" ht="25.5" hidden="1">
      <c r="A263" s="81" t="s">
        <v>136</v>
      </c>
      <c r="B263" s="82" t="s">
        <v>147</v>
      </c>
      <c r="C263" s="82" t="s">
        <v>137</v>
      </c>
      <c r="D263" s="82" t="s">
        <v>138</v>
      </c>
      <c r="E263" s="82"/>
      <c r="F263" s="82"/>
      <c r="G263" s="207"/>
      <c r="H263" s="198"/>
      <c r="I263" s="207"/>
      <c r="J263" s="207"/>
    </row>
    <row r="264" spans="1:10" s="72" customFormat="1" ht="9.75" customHeight="1" hidden="1">
      <c r="A264" s="69" t="s">
        <v>203</v>
      </c>
      <c r="B264" s="70" t="s">
        <v>147</v>
      </c>
      <c r="C264" s="70" t="s">
        <v>137</v>
      </c>
      <c r="D264" s="70" t="s">
        <v>138</v>
      </c>
      <c r="E264" s="70" t="s">
        <v>202</v>
      </c>
      <c r="F264" s="70"/>
      <c r="G264" s="207"/>
      <c r="H264" s="198"/>
      <c r="I264" s="207"/>
      <c r="J264" s="207"/>
    </row>
    <row r="265" spans="1:10" s="30" customFormat="1" ht="12.75" customHeight="1" hidden="1">
      <c r="A265" s="33" t="s">
        <v>89</v>
      </c>
      <c r="B265" s="29"/>
      <c r="C265" s="29"/>
      <c r="D265" s="29"/>
      <c r="E265" s="29"/>
      <c r="F265" s="29"/>
      <c r="G265" s="212"/>
      <c r="H265" s="205"/>
      <c r="I265" s="212"/>
      <c r="J265" s="212"/>
    </row>
    <row r="266" spans="1:10" s="30" customFormat="1" ht="15" customHeight="1" hidden="1">
      <c r="A266" s="33" t="s">
        <v>90</v>
      </c>
      <c r="B266" s="29"/>
      <c r="C266" s="29"/>
      <c r="D266" s="29"/>
      <c r="E266" s="29"/>
      <c r="F266" s="29"/>
      <c r="G266" s="212"/>
      <c r="H266" s="205"/>
      <c r="I266" s="212"/>
      <c r="J266" s="212"/>
    </row>
    <row r="267" spans="1:10" s="15" customFormat="1" ht="12.75">
      <c r="A267" s="47" t="s">
        <v>228</v>
      </c>
      <c r="B267" s="48" t="s">
        <v>149</v>
      </c>
      <c r="C267" s="48" t="s">
        <v>88</v>
      </c>
      <c r="D267" s="48" t="s">
        <v>2</v>
      </c>
      <c r="E267" s="48"/>
      <c r="F267" s="48"/>
      <c r="G267" s="222">
        <f>G268+G299+G302</f>
        <v>352472</v>
      </c>
      <c r="H267" s="222">
        <f>H268+H299+H302</f>
        <v>129650.7</v>
      </c>
      <c r="I267" s="222">
        <f>I268+I299+I302</f>
        <v>222821.3</v>
      </c>
      <c r="J267" s="222">
        <f>J268+J299+J302</f>
        <v>0</v>
      </c>
    </row>
    <row r="268" spans="1:10" s="45" customFormat="1" ht="25.5">
      <c r="A268" s="10" t="s">
        <v>248</v>
      </c>
      <c r="B268" s="44" t="s">
        <v>149</v>
      </c>
      <c r="C268" s="44" t="s">
        <v>82</v>
      </c>
      <c r="D268" s="44" t="s">
        <v>69</v>
      </c>
      <c r="E268" s="44"/>
      <c r="F268" s="44"/>
      <c r="G268" s="197">
        <f aca="true" t="shared" si="2" ref="G268:J269">G269</f>
        <v>247630</v>
      </c>
      <c r="H268" s="198">
        <f t="shared" si="2"/>
        <v>45032</v>
      </c>
      <c r="I268" s="197">
        <f t="shared" si="2"/>
        <v>202598</v>
      </c>
      <c r="J268" s="197">
        <f t="shared" si="2"/>
        <v>0</v>
      </c>
    </row>
    <row r="269" spans="1:10" s="21" customFormat="1" ht="14.25" customHeight="1">
      <c r="A269" s="12" t="s">
        <v>37</v>
      </c>
      <c r="B269" s="20" t="s">
        <v>149</v>
      </c>
      <c r="C269" s="20" t="s">
        <v>82</v>
      </c>
      <c r="D269" s="20" t="s">
        <v>69</v>
      </c>
      <c r="E269" s="20" t="s">
        <v>38</v>
      </c>
      <c r="F269" s="20"/>
      <c r="G269" s="214">
        <f t="shared" si="2"/>
        <v>247630</v>
      </c>
      <c r="H269" s="215">
        <f t="shared" si="2"/>
        <v>45032</v>
      </c>
      <c r="I269" s="214">
        <f t="shared" si="2"/>
        <v>202598</v>
      </c>
      <c r="J269" s="214">
        <f t="shared" si="2"/>
        <v>0</v>
      </c>
    </row>
    <row r="270" spans="1:10" s="21" customFormat="1" ht="24.75" customHeight="1">
      <c r="A270" s="19" t="s">
        <v>392</v>
      </c>
      <c r="B270" s="20"/>
      <c r="C270" s="20"/>
      <c r="D270" s="20"/>
      <c r="E270" s="20"/>
      <c r="F270" s="20" t="s">
        <v>382</v>
      </c>
      <c r="G270" s="214">
        <f>G292+G293+G294+G295+G296+G297+G298</f>
        <v>247630</v>
      </c>
      <c r="H270" s="215">
        <f>H292+H293+H294+H295+H296+H297+H298</f>
        <v>45032</v>
      </c>
      <c r="I270" s="214">
        <f>I292+I293+I294+I295+I296+I297+I298</f>
        <v>202598</v>
      </c>
      <c r="J270" s="214">
        <f>J292+J293+J294+J295+J296+J297+J298</f>
        <v>0</v>
      </c>
    </row>
    <row r="271" spans="1:10" s="21" customFormat="1" ht="25.5" hidden="1">
      <c r="A271" s="16" t="s">
        <v>226</v>
      </c>
      <c r="B271" s="20"/>
      <c r="C271" s="20"/>
      <c r="D271" s="20"/>
      <c r="E271" s="20"/>
      <c r="F271" s="20"/>
      <c r="G271" s="214"/>
      <c r="H271" s="215"/>
      <c r="I271" s="214"/>
      <c r="J271" s="214"/>
    </row>
    <row r="272" spans="1:10" s="21" customFormat="1" ht="51" hidden="1">
      <c r="A272" s="103" t="s">
        <v>227</v>
      </c>
      <c r="B272" s="20"/>
      <c r="C272" s="20"/>
      <c r="D272" s="20"/>
      <c r="E272" s="20"/>
      <c r="F272" s="20"/>
      <c r="G272" s="214"/>
      <c r="H272" s="215"/>
      <c r="I272" s="214"/>
      <c r="J272" s="214"/>
    </row>
    <row r="273" spans="1:10" s="21" customFormat="1" ht="38.25" hidden="1">
      <c r="A273" s="35" t="s">
        <v>95</v>
      </c>
      <c r="B273" s="20"/>
      <c r="C273" s="20"/>
      <c r="D273" s="20"/>
      <c r="E273" s="20"/>
      <c r="F273" s="20"/>
      <c r="G273" s="214"/>
      <c r="H273" s="215"/>
      <c r="I273" s="214"/>
      <c r="J273" s="214"/>
    </row>
    <row r="274" spans="1:10" s="21" customFormat="1" ht="23.25" customHeight="1" hidden="1">
      <c r="A274" s="35" t="s">
        <v>96</v>
      </c>
      <c r="B274" s="20"/>
      <c r="C274" s="20"/>
      <c r="D274" s="20"/>
      <c r="E274" s="20"/>
      <c r="F274" s="20"/>
      <c r="G274" s="214"/>
      <c r="H274" s="215"/>
      <c r="I274" s="214"/>
      <c r="J274" s="214"/>
    </row>
    <row r="275" spans="1:10" s="21" customFormat="1" ht="12.75" hidden="1">
      <c r="A275" s="36" t="s">
        <v>97</v>
      </c>
      <c r="B275" s="20"/>
      <c r="C275" s="20"/>
      <c r="D275" s="20"/>
      <c r="E275" s="20"/>
      <c r="F275" s="20"/>
      <c r="G275" s="214"/>
      <c r="H275" s="215"/>
      <c r="I275" s="214"/>
      <c r="J275" s="214"/>
    </row>
    <row r="276" spans="1:10" s="21" customFormat="1" ht="12.75" hidden="1">
      <c r="A276" s="35" t="s">
        <v>98</v>
      </c>
      <c r="B276" s="20"/>
      <c r="C276" s="20"/>
      <c r="D276" s="20"/>
      <c r="E276" s="20"/>
      <c r="F276" s="20"/>
      <c r="G276" s="214"/>
      <c r="H276" s="215"/>
      <c r="I276" s="214"/>
      <c r="J276" s="214"/>
    </row>
    <row r="277" spans="1:10" s="21" customFormat="1" ht="12.75" hidden="1">
      <c r="A277" s="37" t="s">
        <v>99</v>
      </c>
      <c r="B277" s="20"/>
      <c r="C277" s="20"/>
      <c r="D277" s="20"/>
      <c r="E277" s="20"/>
      <c r="F277" s="20"/>
      <c r="G277" s="214"/>
      <c r="H277" s="215"/>
      <c r="I277" s="214"/>
      <c r="J277" s="214"/>
    </row>
    <row r="278" spans="1:10" s="21" customFormat="1" ht="25.5" hidden="1">
      <c r="A278" s="38" t="s">
        <v>100</v>
      </c>
      <c r="B278" s="20"/>
      <c r="C278" s="20"/>
      <c r="D278" s="20"/>
      <c r="E278" s="20"/>
      <c r="F278" s="20"/>
      <c r="G278" s="214"/>
      <c r="H278" s="215"/>
      <c r="I278" s="214"/>
      <c r="J278" s="214"/>
    </row>
    <row r="279" spans="1:10" s="21" customFormat="1" ht="12.75" hidden="1">
      <c r="A279" s="39" t="s">
        <v>101</v>
      </c>
      <c r="B279" s="20"/>
      <c r="C279" s="20"/>
      <c r="D279" s="20"/>
      <c r="E279" s="20"/>
      <c r="F279" s="20"/>
      <c r="G279" s="214"/>
      <c r="H279" s="215"/>
      <c r="I279" s="214"/>
      <c r="J279" s="214"/>
    </row>
    <row r="280" spans="1:10" s="21" customFormat="1" ht="12.75" hidden="1">
      <c r="A280" s="39" t="s">
        <v>102</v>
      </c>
      <c r="B280" s="20"/>
      <c r="C280" s="20"/>
      <c r="D280" s="20"/>
      <c r="E280" s="20"/>
      <c r="F280" s="20"/>
      <c r="G280" s="214"/>
      <c r="H280" s="215"/>
      <c r="I280" s="214"/>
      <c r="J280" s="214"/>
    </row>
    <row r="281" spans="1:10" s="21" customFormat="1" ht="25.5" hidden="1">
      <c r="A281" s="40" t="s">
        <v>103</v>
      </c>
      <c r="B281" s="20"/>
      <c r="C281" s="20"/>
      <c r="D281" s="20"/>
      <c r="E281" s="20"/>
      <c r="F281" s="20"/>
      <c r="G281" s="214"/>
      <c r="H281" s="215"/>
      <c r="I281" s="214"/>
      <c r="J281" s="214"/>
    </row>
    <row r="282" spans="1:10" s="21" customFormat="1" ht="25.5" hidden="1">
      <c r="A282" s="40" t="s">
        <v>104</v>
      </c>
      <c r="B282" s="20"/>
      <c r="C282" s="20"/>
      <c r="D282" s="20"/>
      <c r="E282" s="20"/>
      <c r="F282" s="20"/>
      <c r="G282" s="214"/>
      <c r="H282" s="215"/>
      <c r="I282" s="214"/>
      <c r="J282" s="214"/>
    </row>
    <row r="283" spans="1:10" s="21" customFormat="1" ht="12.75" hidden="1">
      <c r="A283" s="41" t="s">
        <v>105</v>
      </c>
      <c r="B283" s="20"/>
      <c r="C283" s="20"/>
      <c r="D283" s="20"/>
      <c r="E283" s="20"/>
      <c r="F283" s="20"/>
      <c r="G283" s="214"/>
      <c r="H283" s="215"/>
      <c r="I283" s="214"/>
      <c r="J283" s="214"/>
    </row>
    <row r="284" spans="1:10" s="21" customFormat="1" ht="12.75" hidden="1">
      <c r="A284" s="42" t="s">
        <v>106</v>
      </c>
      <c r="B284" s="20"/>
      <c r="C284" s="20"/>
      <c r="D284" s="20"/>
      <c r="E284" s="20"/>
      <c r="F284" s="20"/>
      <c r="G284" s="214"/>
      <c r="H284" s="215"/>
      <c r="I284" s="214"/>
      <c r="J284" s="214"/>
    </row>
    <row r="285" spans="1:10" s="21" customFormat="1" ht="12.75" hidden="1">
      <c r="A285" s="42" t="s">
        <v>107</v>
      </c>
      <c r="B285" s="20"/>
      <c r="C285" s="20"/>
      <c r="D285" s="20"/>
      <c r="E285" s="20"/>
      <c r="F285" s="20"/>
      <c r="G285" s="214"/>
      <c r="H285" s="215"/>
      <c r="I285" s="214"/>
      <c r="J285" s="214"/>
    </row>
    <row r="286" spans="1:10" s="21" customFormat="1" ht="12.75" hidden="1">
      <c r="A286" s="42" t="s">
        <v>108</v>
      </c>
      <c r="B286" s="20"/>
      <c r="C286" s="20"/>
      <c r="D286" s="20"/>
      <c r="E286" s="20"/>
      <c r="F286" s="20"/>
      <c r="G286" s="214"/>
      <c r="H286" s="215"/>
      <c r="I286" s="214"/>
      <c r="J286" s="214"/>
    </row>
    <row r="287" spans="1:10" s="21" customFormat="1" ht="12.75" hidden="1">
      <c r="A287" s="37" t="s">
        <v>109</v>
      </c>
      <c r="B287" s="20"/>
      <c r="C287" s="20"/>
      <c r="D287" s="20"/>
      <c r="E287" s="20"/>
      <c r="F287" s="20"/>
      <c r="G287" s="214"/>
      <c r="H287" s="215"/>
      <c r="I287" s="214"/>
      <c r="J287" s="214"/>
    </row>
    <row r="288" spans="1:10" s="21" customFormat="1" ht="12.75" hidden="1">
      <c r="A288" s="37" t="s">
        <v>110</v>
      </c>
      <c r="B288" s="20"/>
      <c r="C288" s="20"/>
      <c r="D288" s="20"/>
      <c r="E288" s="20"/>
      <c r="F288" s="20"/>
      <c r="G288" s="214"/>
      <c r="H288" s="215"/>
      <c r="I288" s="214"/>
      <c r="J288" s="214"/>
    </row>
    <row r="289" spans="1:10" s="21" customFormat="1" ht="12.75" hidden="1">
      <c r="A289" s="37" t="s">
        <v>111</v>
      </c>
      <c r="B289" s="20"/>
      <c r="C289" s="20"/>
      <c r="D289" s="20"/>
      <c r="E289" s="20"/>
      <c r="F289" s="20"/>
      <c r="G289" s="214"/>
      <c r="H289" s="215"/>
      <c r="I289" s="214"/>
      <c r="J289" s="214"/>
    </row>
    <row r="290" spans="1:10" s="21" customFormat="1" ht="12.75" hidden="1">
      <c r="A290" s="34" t="s">
        <v>112</v>
      </c>
      <c r="B290" s="20"/>
      <c r="C290" s="20"/>
      <c r="D290" s="20"/>
      <c r="E290" s="20"/>
      <c r="F290" s="20"/>
      <c r="G290" s="214"/>
      <c r="H290" s="215"/>
      <c r="I290" s="214"/>
      <c r="J290" s="214"/>
    </row>
    <row r="291" spans="1:10" s="21" customFormat="1" ht="25.5" hidden="1">
      <c r="A291" s="47" t="s">
        <v>204</v>
      </c>
      <c r="B291" s="48" t="s">
        <v>149</v>
      </c>
      <c r="C291" s="48" t="s">
        <v>205</v>
      </c>
      <c r="D291" s="48" t="s">
        <v>206</v>
      </c>
      <c r="E291" s="48" t="s">
        <v>2</v>
      </c>
      <c r="F291" s="48"/>
      <c r="G291" s="214"/>
      <c r="H291" s="215"/>
      <c r="I291" s="214"/>
      <c r="J291" s="214"/>
    </row>
    <row r="292" spans="1:10" s="45" customFormat="1" ht="27" customHeight="1">
      <c r="A292" s="16" t="s">
        <v>249</v>
      </c>
      <c r="B292" s="44"/>
      <c r="C292" s="44"/>
      <c r="D292" s="44"/>
      <c r="E292" s="44"/>
      <c r="F292" s="20" t="s">
        <v>382</v>
      </c>
      <c r="G292" s="186">
        <v>0</v>
      </c>
      <c r="H292" s="213"/>
      <c r="I292" s="186">
        <v>0</v>
      </c>
      <c r="J292" s="186">
        <v>0</v>
      </c>
    </row>
    <row r="293" spans="1:10" s="45" customFormat="1" ht="24.75" customHeight="1">
      <c r="A293" s="162" t="s">
        <v>271</v>
      </c>
      <c r="B293" s="44"/>
      <c r="C293" s="44"/>
      <c r="D293" s="44"/>
      <c r="E293" s="44"/>
      <c r="F293" s="44"/>
      <c r="G293" s="214">
        <v>61000</v>
      </c>
      <c r="H293" s="215"/>
      <c r="I293" s="214">
        <f aca="true" t="shared" si="3" ref="I293:I298">G293-H293</f>
        <v>61000</v>
      </c>
      <c r="J293" s="214"/>
    </row>
    <row r="294" spans="1:10" s="45" customFormat="1" ht="25.5" customHeight="1">
      <c r="A294" s="162" t="s">
        <v>270</v>
      </c>
      <c r="B294" s="44"/>
      <c r="C294" s="44"/>
      <c r="D294" s="44"/>
      <c r="E294" s="44"/>
      <c r="F294" s="44"/>
      <c r="G294" s="214"/>
      <c r="H294" s="213"/>
      <c r="I294" s="214">
        <f t="shared" si="3"/>
        <v>0</v>
      </c>
      <c r="J294" s="214"/>
    </row>
    <row r="295" spans="1:10" s="45" customFormat="1" ht="34.5" customHeight="1">
      <c r="A295" s="162" t="s">
        <v>307</v>
      </c>
      <c r="B295" s="44"/>
      <c r="C295" s="44"/>
      <c r="D295" s="44"/>
      <c r="E295" s="44"/>
      <c r="F295" s="44"/>
      <c r="G295" s="214">
        <v>65000</v>
      </c>
      <c r="H295" s="215">
        <f>30032</f>
        <v>30032</v>
      </c>
      <c r="I295" s="214">
        <f t="shared" si="3"/>
        <v>34968</v>
      </c>
      <c r="J295" s="214"/>
    </row>
    <row r="296" spans="1:10" s="45" customFormat="1" ht="36" customHeight="1">
      <c r="A296" s="162" t="s">
        <v>312</v>
      </c>
      <c r="B296" s="44"/>
      <c r="C296" s="44"/>
      <c r="D296" s="44"/>
      <c r="E296" s="44"/>
      <c r="F296" s="44"/>
      <c r="G296" s="214">
        <v>40000</v>
      </c>
      <c r="H296" s="215">
        <f>15000</f>
        <v>15000</v>
      </c>
      <c r="I296" s="214">
        <f t="shared" si="3"/>
        <v>25000</v>
      </c>
      <c r="J296" s="214"/>
    </row>
    <row r="297" spans="1:10" s="45" customFormat="1" ht="18" customHeight="1">
      <c r="A297" s="188" t="s">
        <v>308</v>
      </c>
      <c r="B297" s="20"/>
      <c r="C297" s="20"/>
      <c r="D297" s="20"/>
      <c r="E297" s="20"/>
      <c r="F297" s="20"/>
      <c r="G297" s="214">
        <v>60000</v>
      </c>
      <c r="H297" s="215"/>
      <c r="I297" s="214">
        <f t="shared" si="3"/>
        <v>60000</v>
      </c>
      <c r="J297" s="214"/>
    </row>
    <row r="298" spans="1:10" s="21" customFormat="1" ht="24.75" customHeight="1">
      <c r="A298" s="168" t="s">
        <v>289</v>
      </c>
      <c r="B298" s="17"/>
      <c r="C298" s="17"/>
      <c r="D298" s="17"/>
      <c r="E298" s="17"/>
      <c r="F298" s="17"/>
      <c r="G298" s="214">
        <f>21710-80</f>
        <v>21630</v>
      </c>
      <c r="H298" s="215"/>
      <c r="I298" s="214">
        <f t="shared" si="3"/>
        <v>21630</v>
      </c>
      <c r="J298" s="214"/>
    </row>
    <row r="299" spans="1:10" s="45" customFormat="1" ht="14.25" customHeight="1">
      <c r="A299" s="187" t="s">
        <v>47</v>
      </c>
      <c r="B299" s="44" t="s">
        <v>149</v>
      </c>
      <c r="C299" s="44" t="s">
        <v>82</v>
      </c>
      <c r="D299" s="44" t="s">
        <v>69</v>
      </c>
      <c r="E299" s="44" t="s">
        <v>48</v>
      </c>
      <c r="F299" s="44"/>
      <c r="G299" s="197">
        <f aca="true" t="shared" si="4" ref="G299:J300">G300</f>
        <v>42500</v>
      </c>
      <c r="H299" s="198">
        <f t="shared" si="4"/>
        <v>25112</v>
      </c>
      <c r="I299" s="197">
        <f t="shared" si="4"/>
        <v>17388</v>
      </c>
      <c r="J299" s="197">
        <f t="shared" si="4"/>
        <v>0</v>
      </c>
    </row>
    <row r="300" spans="1:10" s="45" customFormat="1" ht="24.75" customHeight="1">
      <c r="A300" s="19" t="s">
        <v>393</v>
      </c>
      <c r="B300" s="44"/>
      <c r="C300" s="44"/>
      <c r="D300" s="44"/>
      <c r="E300" s="44"/>
      <c r="F300" s="20" t="s">
        <v>394</v>
      </c>
      <c r="G300" s="214">
        <f t="shared" si="4"/>
        <v>42500</v>
      </c>
      <c r="H300" s="215">
        <f t="shared" si="4"/>
        <v>25112</v>
      </c>
      <c r="I300" s="214">
        <f t="shared" si="4"/>
        <v>17388</v>
      </c>
      <c r="J300" s="214">
        <f t="shared" si="4"/>
        <v>0</v>
      </c>
    </row>
    <row r="301" spans="1:10" s="45" customFormat="1" ht="24" customHeight="1">
      <c r="A301" s="16" t="s">
        <v>92</v>
      </c>
      <c r="B301" s="44"/>
      <c r="C301" s="44"/>
      <c r="D301" s="44"/>
      <c r="E301" s="44"/>
      <c r="F301" s="44"/>
      <c r="G301" s="214">
        <v>42500</v>
      </c>
      <c r="H301" s="215">
        <f>15640+4242+5230</f>
        <v>25112</v>
      </c>
      <c r="I301" s="214">
        <f>G301-H301</f>
        <v>17388</v>
      </c>
      <c r="J301" s="214"/>
    </row>
    <row r="302" spans="1:10" s="45" customFormat="1" ht="39.75" customHeight="1">
      <c r="A302" s="10" t="s">
        <v>251</v>
      </c>
      <c r="B302" s="44" t="s">
        <v>149</v>
      </c>
      <c r="C302" s="44" t="s">
        <v>301</v>
      </c>
      <c r="D302" s="44" t="s">
        <v>255</v>
      </c>
      <c r="E302" s="44" t="s">
        <v>2</v>
      </c>
      <c r="F302" s="44"/>
      <c r="G302" s="211">
        <f>G303+G310</f>
        <v>62342</v>
      </c>
      <c r="H302" s="196">
        <f>H303+H310</f>
        <v>59506.7</v>
      </c>
      <c r="I302" s="211">
        <f>I303+I310</f>
        <v>2835.2999999999993</v>
      </c>
      <c r="J302" s="211">
        <f>J303+J310</f>
        <v>0</v>
      </c>
    </row>
    <row r="303" spans="1:10" s="45" customFormat="1" ht="14.25" customHeight="1">
      <c r="A303" s="185" t="s">
        <v>4</v>
      </c>
      <c r="B303" s="14" t="s">
        <v>149</v>
      </c>
      <c r="C303" s="14" t="s">
        <v>301</v>
      </c>
      <c r="D303" s="14" t="s">
        <v>255</v>
      </c>
      <c r="E303" s="14" t="s">
        <v>5</v>
      </c>
      <c r="F303" s="44"/>
      <c r="G303" s="211">
        <f>G304+G305+G309</f>
        <v>62342</v>
      </c>
      <c r="H303" s="196">
        <f>H304+H305+H309</f>
        <v>59506.7</v>
      </c>
      <c r="I303" s="211">
        <f>I304+I305+I309</f>
        <v>2835.2999999999993</v>
      </c>
      <c r="J303" s="211">
        <f>J304+J305+J309</f>
        <v>0</v>
      </c>
    </row>
    <row r="304" spans="1:10" s="45" customFormat="1" ht="15" customHeight="1">
      <c r="A304" s="118" t="s">
        <v>6</v>
      </c>
      <c r="B304" s="17" t="s">
        <v>149</v>
      </c>
      <c r="C304" s="17" t="s">
        <v>301</v>
      </c>
      <c r="D304" s="17" t="s">
        <v>255</v>
      </c>
      <c r="E304" s="17" t="s">
        <v>7</v>
      </c>
      <c r="F304" s="17" t="s">
        <v>396</v>
      </c>
      <c r="G304" s="186">
        <v>49400</v>
      </c>
      <c r="H304" s="213">
        <f>46630+2770</f>
        <v>49400</v>
      </c>
      <c r="I304" s="186">
        <f>G304-H304</f>
        <v>0</v>
      </c>
      <c r="J304" s="186"/>
    </row>
    <row r="305" spans="1:10" s="45" customFormat="1" ht="15.75" customHeight="1">
      <c r="A305" s="118" t="s">
        <v>8</v>
      </c>
      <c r="B305" s="17" t="s">
        <v>149</v>
      </c>
      <c r="C305" s="17" t="s">
        <v>301</v>
      </c>
      <c r="D305" s="17" t="s">
        <v>255</v>
      </c>
      <c r="E305" s="17" t="s">
        <v>9</v>
      </c>
      <c r="F305" s="164"/>
      <c r="G305" s="219">
        <f>G306+G307+G308</f>
        <v>0</v>
      </c>
      <c r="H305" s="220">
        <f>H306+H307+H308</f>
        <v>0</v>
      </c>
      <c r="I305" s="219">
        <f>I306+I307+I308</f>
        <v>0</v>
      </c>
      <c r="J305" s="219">
        <f>J306+J307+J308</f>
        <v>0</v>
      </c>
    </row>
    <row r="306" spans="1:10" s="45" customFormat="1" ht="15" customHeight="1">
      <c r="A306" s="11" t="s">
        <v>360</v>
      </c>
      <c r="B306" s="4"/>
      <c r="C306" s="4"/>
      <c r="D306" s="4"/>
      <c r="E306" s="4"/>
      <c r="F306" s="4" t="s">
        <v>398</v>
      </c>
      <c r="G306" s="219"/>
      <c r="H306" s="220"/>
      <c r="I306" s="219">
        <f>G306-H306</f>
        <v>0</v>
      </c>
      <c r="J306" s="186"/>
    </row>
    <row r="307" spans="1:10" s="45" customFormat="1" ht="15" customHeight="1">
      <c r="A307" s="12" t="s">
        <v>343</v>
      </c>
      <c r="B307" s="4"/>
      <c r="C307" s="4"/>
      <c r="D307" s="4"/>
      <c r="E307" s="4"/>
      <c r="F307" s="4"/>
      <c r="G307" s="219"/>
      <c r="H307" s="220"/>
      <c r="I307" s="219">
        <f>G307-H307</f>
        <v>0</v>
      </c>
      <c r="J307" s="219"/>
    </row>
    <row r="308" spans="1:10" s="45" customFormat="1" ht="15.75" customHeight="1">
      <c r="A308" s="6" t="s">
        <v>361</v>
      </c>
      <c r="B308" s="4"/>
      <c r="C308" s="4"/>
      <c r="D308" s="4"/>
      <c r="E308" s="4"/>
      <c r="F308" s="4" t="s">
        <v>397</v>
      </c>
      <c r="G308" s="219"/>
      <c r="H308" s="213"/>
      <c r="I308" s="219">
        <f>G308-H308</f>
        <v>0</v>
      </c>
      <c r="J308" s="219"/>
    </row>
    <row r="309" spans="1:10" s="45" customFormat="1" ht="15" customHeight="1">
      <c r="A309" s="118" t="s">
        <v>13</v>
      </c>
      <c r="B309" s="17" t="s">
        <v>149</v>
      </c>
      <c r="C309" s="17" t="s">
        <v>301</v>
      </c>
      <c r="D309" s="17" t="s">
        <v>255</v>
      </c>
      <c r="E309" s="17" t="s">
        <v>14</v>
      </c>
      <c r="F309" s="17" t="s">
        <v>396</v>
      </c>
      <c r="G309" s="186">
        <v>12942</v>
      </c>
      <c r="H309" s="213">
        <f>235+242+426+550.7+1317+1279+2984+3073</f>
        <v>10106.7</v>
      </c>
      <c r="I309" s="186">
        <f>G309-H309</f>
        <v>2835.2999999999993</v>
      </c>
      <c r="J309" s="186"/>
    </row>
    <row r="310" spans="1:10" s="45" customFormat="1" ht="17.25" customHeight="1">
      <c r="A310" s="10" t="s">
        <v>15</v>
      </c>
      <c r="B310" s="14" t="s">
        <v>149</v>
      </c>
      <c r="C310" s="14" t="s">
        <v>254</v>
      </c>
      <c r="D310" s="14" t="s">
        <v>255</v>
      </c>
      <c r="E310" s="14" t="s">
        <v>16</v>
      </c>
      <c r="F310" s="14"/>
      <c r="G310" s="211">
        <f>G311+G312+G315</f>
        <v>0</v>
      </c>
      <c r="H310" s="196">
        <f>H311+H312+H315</f>
        <v>0</v>
      </c>
      <c r="I310" s="211">
        <f>I311+I312+I315</f>
        <v>0</v>
      </c>
      <c r="J310" s="211">
        <f>J311+J312+J315</f>
        <v>0</v>
      </c>
    </row>
    <row r="311" spans="1:10" s="45" customFormat="1" ht="17.25" customHeight="1">
      <c r="A311" s="19" t="s">
        <v>341</v>
      </c>
      <c r="B311" s="20" t="s">
        <v>149</v>
      </c>
      <c r="C311" s="20" t="s">
        <v>254</v>
      </c>
      <c r="D311" s="20" t="s">
        <v>255</v>
      </c>
      <c r="E311" s="20" t="s">
        <v>18</v>
      </c>
      <c r="F311" s="44"/>
      <c r="G311" s="211"/>
      <c r="H311" s="196"/>
      <c r="I311" s="211">
        <f>G311-H311</f>
        <v>0</v>
      </c>
      <c r="J311" s="211"/>
    </row>
    <row r="312" spans="1:10" s="45" customFormat="1" ht="15.75" customHeight="1">
      <c r="A312" s="19" t="s">
        <v>21</v>
      </c>
      <c r="B312" s="20" t="s">
        <v>149</v>
      </c>
      <c r="C312" s="20" t="s">
        <v>254</v>
      </c>
      <c r="D312" s="20" t="s">
        <v>255</v>
      </c>
      <c r="E312" s="20" t="s">
        <v>19</v>
      </c>
      <c r="F312" s="44"/>
      <c r="G312" s="211">
        <f>G313+G314</f>
        <v>0</v>
      </c>
      <c r="H312" s="196">
        <f>H313+H314</f>
        <v>0</v>
      </c>
      <c r="I312" s="211">
        <f>I313+I314</f>
        <v>0</v>
      </c>
      <c r="J312" s="211">
        <f>J313+J314</f>
        <v>0</v>
      </c>
    </row>
    <row r="313" spans="1:10" s="45" customFormat="1" ht="24.75" customHeight="1">
      <c r="A313" s="11" t="s">
        <v>344</v>
      </c>
      <c r="B313" s="4"/>
      <c r="C313" s="4"/>
      <c r="D313" s="4"/>
      <c r="E313" s="4"/>
      <c r="F313" s="4" t="s">
        <v>399</v>
      </c>
      <c r="G313" s="211"/>
      <c r="H313" s="196"/>
      <c r="I313" s="211">
        <f>G313-H313</f>
        <v>0</v>
      </c>
      <c r="J313" s="214"/>
    </row>
    <row r="314" spans="1:10" s="45" customFormat="1" ht="39.75" customHeight="1">
      <c r="A314" s="8" t="s">
        <v>362</v>
      </c>
      <c r="B314" s="4"/>
      <c r="C314" s="4"/>
      <c r="D314" s="4"/>
      <c r="E314" s="4"/>
      <c r="F314" s="4"/>
      <c r="G314" s="211"/>
      <c r="H314" s="196"/>
      <c r="I314" s="211">
        <f>G314-H314</f>
        <v>0</v>
      </c>
      <c r="J314" s="211"/>
    </row>
    <row r="315" spans="1:10" s="45" customFormat="1" ht="15" customHeight="1">
      <c r="A315" s="19" t="s">
        <v>37</v>
      </c>
      <c r="B315" s="20" t="s">
        <v>149</v>
      </c>
      <c r="C315" s="20" t="s">
        <v>254</v>
      </c>
      <c r="D315" s="20" t="s">
        <v>255</v>
      </c>
      <c r="E315" s="20" t="s">
        <v>38</v>
      </c>
      <c r="F315" s="20" t="s">
        <v>400</v>
      </c>
      <c r="G315" s="211"/>
      <c r="H315" s="196"/>
      <c r="I315" s="211">
        <f>G315-H315</f>
        <v>0</v>
      </c>
      <c r="J315" s="214"/>
    </row>
    <row r="316" spans="1:10" s="45" customFormat="1" ht="17.25" customHeight="1">
      <c r="A316" s="47" t="s">
        <v>297</v>
      </c>
      <c r="B316" s="82" t="s">
        <v>298</v>
      </c>
      <c r="C316" s="82" t="s">
        <v>88</v>
      </c>
      <c r="D316" s="82" t="s">
        <v>2</v>
      </c>
      <c r="E316" s="82"/>
      <c r="F316" s="82"/>
      <c r="G316" s="222">
        <f>G317</f>
        <v>293099</v>
      </c>
      <c r="H316" s="196">
        <f>H317</f>
        <v>200982.76999999996</v>
      </c>
      <c r="I316" s="222">
        <f>I317</f>
        <v>92116.23000000004</v>
      </c>
      <c r="J316" s="222">
        <f>J317</f>
        <v>0</v>
      </c>
    </row>
    <row r="317" spans="1:10" s="45" customFormat="1" ht="23.25" customHeight="1">
      <c r="A317" s="16" t="s">
        <v>299</v>
      </c>
      <c r="B317" s="44" t="s">
        <v>300</v>
      </c>
      <c r="C317" s="44" t="s">
        <v>301</v>
      </c>
      <c r="D317" s="44" t="s">
        <v>302</v>
      </c>
      <c r="E317" s="44" t="s">
        <v>2</v>
      </c>
      <c r="F317" s="44"/>
      <c r="G317" s="223">
        <f>G318+G319</f>
        <v>293099</v>
      </c>
      <c r="H317" s="213">
        <f>H318+H319</f>
        <v>200982.76999999996</v>
      </c>
      <c r="I317" s="223">
        <f>I318+I319</f>
        <v>92116.23000000004</v>
      </c>
      <c r="J317" s="223">
        <f>J318+J319</f>
        <v>0</v>
      </c>
    </row>
    <row r="318" spans="1:10" s="45" customFormat="1" ht="19.5" customHeight="1">
      <c r="A318" s="19" t="s">
        <v>6</v>
      </c>
      <c r="B318" s="20" t="s">
        <v>300</v>
      </c>
      <c r="C318" s="20" t="s">
        <v>301</v>
      </c>
      <c r="D318" s="20" t="s">
        <v>302</v>
      </c>
      <c r="E318" s="20" t="s">
        <v>7</v>
      </c>
      <c r="F318" s="20" t="s">
        <v>395</v>
      </c>
      <c r="G318" s="224">
        <v>232250</v>
      </c>
      <c r="H318" s="215">
        <f>9581+11752.36+11752.36+12228.52+16047.2+16740.36-16047.2+16047.2+10160+11779.36+14832.26+15994.2+11701.36+16688.36</f>
        <v>159257.33999999997</v>
      </c>
      <c r="I318" s="224">
        <f>G318-H318</f>
        <v>72992.66000000003</v>
      </c>
      <c r="J318" s="224"/>
    </row>
    <row r="319" spans="1:10" s="45" customFormat="1" ht="19.5" customHeight="1">
      <c r="A319" s="19" t="s">
        <v>13</v>
      </c>
      <c r="B319" s="20" t="s">
        <v>300</v>
      </c>
      <c r="C319" s="20" t="s">
        <v>301</v>
      </c>
      <c r="D319" s="20" t="s">
        <v>302</v>
      </c>
      <c r="E319" s="20" t="s">
        <v>14</v>
      </c>
      <c r="F319" s="20" t="s">
        <v>395</v>
      </c>
      <c r="G319" s="224">
        <v>60849</v>
      </c>
      <c r="H319" s="215">
        <f>156.2+859.12+1562.04+2264.95+2392.26+4686.11+8541.99+162.31+892.71+2353.51+2514.42+4869.33+8847.37+1623.11</f>
        <v>41725.43</v>
      </c>
      <c r="I319" s="224">
        <f>G319-H319</f>
        <v>19123.57</v>
      </c>
      <c r="J319" s="224"/>
    </row>
    <row r="320" spans="1:10" s="45" customFormat="1" ht="26.25" customHeight="1">
      <c r="A320" s="47" t="s">
        <v>250</v>
      </c>
      <c r="B320" s="82" t="s">
        <v>252</v>
      </c>
      <c r="C320" s="82" t="s">
        <v>88</v>
      </c>
      <c r="D320" s="82"/>
      <c r="E320" s="82"/>
      <c r="F320" s="82"/>
      <c r="G320" s="222">
        <f>G321</f>
        <v>191465</v>
      </c>
      <c r="H320" s="222">
        <f>H321</f>
        <v>0</v>
      </c>
      <c r="I320" s="222">
        <f>I321</f>
        <v>191465</v>
      </c>
      <c r="J320" s="222">
        <f>J321</f>
        <v>0</v>
      </c>
    </row>
    <row r="321" spans="1:10" s="45" customFormat="1" ht="39.75" customHeight="1">
      <c r="A321" s="10" t="s">
        <v>260</v>
      </c>
      <c r="B321" s="44" t="s">
        <v>150</v>
      </c>
      <c r="C321" s="44" t="s">
        <v>113</v>
      </c>
      <c r="D321" s="44" t="s">
        <v>2</v>
      </c>
      <c r="E321" s="44"/>
      <c r="F321" s="44"/>
      <c r="G321" s="195">
        <f aca="true" t="shared" si="5" ref="G321:J323">G322</f>
        <v>191465</v>
      </c>
      <c r="H321" s="196">
        <f t="shared" si="5"/>
        <v>0</v>
      </c>
      <c r="I321" s="195">
        <f t="shared" si="5"/>
        <v>191465</v>
      </c>
      <c r="J321" s="195">
        <f t="shared" si="5"/>
        <v>0</v>
      </c>
    </row>
    <row r="322" spans="1:10" s="68" customFormat="1" ht="57.75" customHeight="1">
      <c r="A322" s="149" t="s">
        <v>114</v>
      </c>
      <c r="B322" s="70" t="s">
        <v>150</v>
      </c>
      <c r="C322" s="88" t="s">
        <v>113</v>
      </c>
      <c r="D322" s="88" t="s">
        <v>255</v>
      </c>
      <c r="E322" s="88" t="s">
        <v>2</v>
      </c>
      <c r="F322" s="88"/>
      <c r="G322" s="225">
        <f t="shared" si="5"/>
        <v>191465</v>
      </c>
      <c r="H322" s="226">
        <f t="shared" si="5"/>
        <v>0</v>
      </c>
      <c r="I322" s="225">
        <f t="shared" si="5"/>
        <v>191465</v>
      </c>
      <c r="J322" s="225">
        <f t="shared" si="5"/>
        <v>0</v>
      </c>
    </row>
    <row r="323" spans="1:10" s="68" customFormat="1" ht="12.75" customHeight="1">
      <c r="A323" s="152" t="s">
        <v>15</v>
      </c>
      <c r="B323" s="153" t="s">
        <v>150</v>
      </c>
      <c r="C323" s="153" t="s">
        <v>113</v>
      </c>
      <c r="D323" s="153" t="s">
        <v>255</v>
      </c>
      <c r="E323" s="153" t="s">
        <v>16</v>
      </c>
      <c r="F323" s="156"/>
      <c r="G323" s="227">
        <f t="shared" si="5"/>
        <v>191465</v>
      </c>
      <c r="H323" s="228">
        <f t="shared" si="5"/>
        <v>0</v>
      </c>
      <c r="I323" s="227">
        <f t="shared" si="5"/>
        <v>191465</v>
      </c>
      <c r="J323" s="227">
        <f t="shared" si="5"/>
        <v>0</v>
      </c>
    </row>
    <row r="324" spans="1:10" s="68" customFormat="1" ht="14.25" customHeight="1">
      <c r="A324" s="154" t="s">
        <v>37</v>
      </c>
      <c r="B324" s="153" t="s">
        <v>150</v>
      </c>
      <c r="C324" s="153" t="s">
        <v>113</v>
      </c>
      <c r="D324" s="153" t="s">
        <v>255</v>
      </c>
      <c r="E324" s="153" t="s">
        <v>38</v>
      </c>
      <c r="F324" s="150"/>
      <c r="G324" s="227">
        <f>G325+G326</f>
        <v>191465</v>
      </c>
      <c r="H324" s="227">
        <f>H325+H326</f>
        <v>0</v>
      </c>
      <c r="I324" s="227">
        <f>I325+I326</f>
        <v>191465</v>
      </c>
      <c r="J324" s="227">
        <f>J325+J326</f>
        <v>0</v>
      </c>
    </row>
    <row r="325" spans="1:10" s="21" customFormat="1" ht="25.5" customHeight="1">
      <c r="A325" s="12" t="s">
        <v>407</v>
      </c>
      <c r="B325" s="20"/>
      <c r="C325" s="20"/>
      <c r="D325" s="20"/>
      <c r="E325" s="20"/>
      <c r="F325" s="153" t="s">
        <v>391</v>
      </c>
      <c r="G325" s="214">
        <v>111465</v>
      </c>
      <c r="H325" s="215"/>
      <c r="I325" s="214">
        <f>G325-H325</f>
        <v>111465</v>
      </c>
      <c r="J325" s="214"/>
    </row>
    <row r="326" spans="1:10" s="21" customFormat="1" ht="24" customHeight="1">
      <c r="A326" s="168" t="s">
        <v>304</v>
      </c>
      <c r="B326" s="14"/>
      <c r="C326" s="14"/>
      <c r="D326" s="14"/>
      <c r="E326" s="14"/>
      <c r="F326" s="153" t="s">
        <v>391</v>
      </c>
      <c r="G326" s="201">
        <v>80000</v>
      </c>
      <c r="H326" s="202"/>
      <c r="I326" s="201">
        <f>G326-H326</f>
        <v>80000</v>
      </c>
      <c r="J326" s="201"/>
    </row>
    <row r="327" spans="1:10" s="15" customFormat="1" ht="14.25" customHeight="1">
      <c r="A327" s="47" t="s">
        <v>62</v>
      </c>
      <c r="B327" s="48" t="s">
        <v>151</v>
      </c>
      <c r="C327" s="48" t="s">
        <v>88</v>
      </c>
      <c r="D327" s="48" t="s">
        <v>2</v>
      </c>
      <c r="E327" s="48"/>
      <c r="F327" s="48"/>
      <c r="G327" s="222">
        <f>G328</f>
        <v>54920</v>
      </c>
      <c r="H327" s="196">
        <f>H328</f>
        <v>9404.1</v>
      </c>
      <c r="I327" s="222">
        <f>I328</f>
        <v>45515.9</v>
      </c>
      <c r="J327" s="222">
        <f>J328</f>
        <v>0</v>
      </c>
    </row>
    <row r="328" spans="1:10" s="45" customFormat="1" ht="25.5" customHeight="1">
      <c r="A328" s="43" t="s">
        <v>63</v>
      </c>
      <c r="B328" s="44" t="s">
        <v>152</v>
      </c>
      <c r="C328" s="44" t="s">
        <v>88</v>
      </c>
      <c r="D328" s="44" t="s">
        <v>2</v>
      </c>
      <c r="E328" s="44"/>
      <c r="F328" s="44"/>
      <c r="G328" s="197">
        <f>SUM(,G331)</f>
        <v>54920</v>
      </c>
      <c r="H328" s="198">
        <f>SUM(,H331)</f>
        <v>9404.1</v>
      </c>
      <c r="I328" s="197">
        <f>SUM(,I331)</f>
        <v>45515.9</v>
      </c>
      <c r="J328" s="197">
        <f>SUM(,J331)</f>
        <v>0</v>
      </c>
    </row>
    <row r="329" spans="1:10" s="45" customFormat="1" ht="26.25" customHeight="1">
      <c r="A329" s="43" t="s">
        <v>117</v>
      </c>
      <c r="B329" s="44" t="s">
        <v>152</v>
      </c>
      <c r="C329" s="44" t="s">
        <v>118</v>
      </c>
      <c r="D329" s="44" t="s">
        <v>119</v>
      </c>
      <c r="E329" s="44"/>
      <c r="F329" s="44"/>
      <c r="G329" s="197">
        <f>G330</f>
        <v>54920</v>
      </c>
      <c r="H329" s="198">
        <f>H330</f>
        <v>9404.1</v>
      </c>
      <c r="I329" s="197">
        <f>I330</f>
        <v>45515.9</v>
      </c>
      <c r="J329" s="197">
        <f>J330</f>
        <v>0</v>
      </c>
    </row>
    <row r="330" spans="1:10" s="45" customFormat="1" ht="15" customHeight="1">
      <c r="A330" s="43" t="s">
        <v>120</v>
      </c>
      <c r="B330" s="44" t="s">
        <v>152</v>
      </c>
      <c r="C330" s="44" t="s">
        <v>118</v>
      </c>
      <c r="D330" s="44" t="s">
        <v>119</v>
      </c>
      <c r="E330" s="44" t="s">
        <v>2</v>
      </c>
      <c r="F330" s="44"/>
      <c r="G330" s="197">
        <f>SUM(G332:G337)</f>
        <v>54920</v>
      </c>
      <c r="H330" s="198">
        <f>SUM(H332:H337)</f>
        <v>9404.1</v>
      </c>
      <c r="I330" s="197">
        <f>SUM(I332:I337)</f>
        <v>45515.9</v>
      </c>
      <c r="J330" s="197">
        <f>SUM(J332:J337)</f>
        <v>0</v>
      </c>
    </row>
    <row r="331" spans="1:10" s="15" customFormat="1" ht="16.5" customHeight="1">
      <c r="A331" s="10" t="s">
        <v>4</v>
      </c>
      <c r="B331" s="14" t="s">
        <v>152</v>
      </c>
      <c r="C331" s="14" t="s">
        <v>201</v>
      </c>
      <c r="D331" s="14" t="s">
        <v>119</v>
      </c>
      <c r="E331" s="14" t="s">
        <v>5</v>
      </c>
      <c r="F331" s="14"/>
      <c r="G331" s="211">
        <f>SUM(G332,G333,G337)</f>
        <v>54920</v>
      </c>
      <c r="H331" s="196">
        <f>SUM(H332,H333,H337)</f>
        <v>9404.1</v>
      </c>
      <c r="I331" s="211">
        <f>SUM(I332,I333,I337)</f>
        <v>45515.9</v>
      </c>
      <c r="J331" s="211">
        <f>SUM(J332,J333,J337)</f>
        <v>0</v>
      </c>
    </row>
    <row r="332" spans="1:10" s="18" customFormat="1" ht="15.75" customHeight="1">
      <c r="A332" s="16" t="s">
        <v>6</v>
      </c>
      <c r="B332" s="27" t="s">
        <v>152</v>
      </c>
      <c r="C332" s="27" t="s">
        <v>201</v>
      </c>
      <c r="D332" s="27" t="s">
        <v>119</v>
      </c>
      <c r="E332" s="17" t="s">
        <v>7</v>
      </c>
      <c r="F332" s="17" t="s">
        <v>369</v>
      </c>
      <c r="G332" s="186">
        <v>43518</v>
      </c>
      <c r="H332" s="213">
        <f>149+1000.33+5822.09+720</f>
        <v>7691.42</v>
      </c>
      <c r="I332" s="186">
        <f aca="true" t="shared" si="6" ref="I332:I337">G332-H332</f>
        <v>35826.58</v>
      </c>
      <c r="J332" s="186"/>
    </row>
    <row r="333" spans="1:10" s="18" customFormat="1" ht="22.5" customHeight="1" hidden="1">
      <c r="A333" s="16" t="s">
        <v>8</v>
      </c>
      <c r="B333" s="27" t="s">
        <v>152</v>
      </c>
      <c r="C333" s="27" t="s">
        <v>201</v>
      </c>
      <c r="D333" s="27" t="s">
        <v>119</v>
      </c>
      <c r="E333" s="17" t="s">
        <v>9</v>
      </c>
      <c r="F333" s="17"/>
      <c r="G333" s="186"/>
      <c r="H333" s="213"/>
      <c r="I333" s="186">
        <f t="shared" si="6"/>
        <v>0</v>
      </c>
      <c r="J333" s="186"/>
    </row>
    <row r="334" spans="1:10" ht="1.5" customHeight="1" hidden="1">
      <c r="A334" s="11" t="s">
        <v>10</v>
      </c>
      <c r="B334" s="4"/>
      <c r="C334" s="4"/>
      <c r="D334" s="4"/>
      <c r="E334" s="4"/>
      <c r="F334" s="4"/>
      <c r="G334" s="200"/>
      <c r="H334" s="199"/>
      <c r="I334" s="186">
        <f t="shared" si="6"/>
        <v>0</v>
      </c>
      <c r="J334" s="200"/>
    </row>
    <row r="335" spans="1:10" ht="21" customHeight="1" hidden="1">
      <c r="A335" s="12" t="s">
        <v>11</v>
      </c>
      <c r="B335" s="4"/>
      <c r="C335" s="4"/>
      <c r="D335" s="4"/>
      <c r="E335" s="4"/>
      <c r="F335" s="4"/>
      <c r="G335" s="200"/>
      <c r="H335" s="199"/>
      <c r="I335" s="186">
        <f t="shared" si="6"/>
        <v>0</v>
      </c>
      <c r="J335" s="200"/>
    </row>
    <row r="336" spans="1:10" ht="24" customHeight="1" hidden="1">
      <c r="A336" s="6" t="s">
        <v>12</v>
      </c>
      <c r="B336" s="4"/>
      <c r="C336" s="4"/>
      <c r="D336" s="4"/>
      <c r="E336" s="4"/>
      <c r="F336" s="4" t="s">
        <v>184</v>
      </c>
      <c r="G336" s="200"/>
      <c r="H336" s="199"/>
      <c r="I336" s="186">
        <f t="shared" si="6"/>
        <v>0</v>
      </c>
      <c r="J336" s="200"/>
    </row>
    <row r="337" spans="1:10" s="18" customFormat="1" ht="15" customHeight="1">
      <c r="A337" s="16" t="s">
        <v>13</v>
      </c>
      <c r="B337" s="27" t="s">
        <v>152</v>
      </c>
      <c r="C337" s="27" t="s">
        <v>201</v>
      </c>
      <c r="D337" s="27" t="s">
        <v>119</v>
      </c>
      <c r="E337" s="17" t="s">
        <v>14</v>
      </c>
      <c r="F337" s="17" t="s">
        <v>369</v>
      </c>
      <c r="G337" s="186">
        <v>11402</v>
      </c>
      <c r="H337" s="213">
        <f>114.93+45.97+22.99+12.64+2.3+68.96+33.33+10.78+59.26+107.75+156.24+215.51+538.76+323.26</f>
        <v>1712.68</v>
      </c>
      <c r="I337" s="186">
        <f t="shared" si="6"/>
        <v>9689.32</v>
      </c>
      <c r="J337" s="186"/>
    </row>
    <row r="338" spans="1:10" s="18" customFormat="1" ht="27.75" customHeight="1" hidden="1">
      <c r="A338" s="10" t="s">
        <v>15</v>
      </c>
      <c r="B338" s="44" t="s">
        <v>152</v>
      </c>
      <c r="C338" s="44" t="s">
        <v>201</v>
      </c>
      <c r="D338" s="44" t="s">
        <v>119</v>
      </c>
      <c r="E338" s="14" t="s">
        <v>16</v>
      </c>
      <c r="F338" s="14"/>
      <c r="G338" s="186"/>
      <c r="H338" s="213"/>
      <c r="I338" s="186"/>
      <c r="J338" s="186"/>
    </row>
    <row r="339" spans="1:10" s="18" customFormat="1" ht="21" customHeight="1" hidden="1">
      <c r="A339" s="16" t="s">
        <v>17</v>
      </c>
      <c r="B339" s="27" t="s">
        <v>152</v>
      </c>
      <c r="C339" s="27" t="s">
        <v>201</v>
      </c>
      <c r="D339" s="27" t="s">
        <v>119</v>
      </c>
      <c r="E339" s="17" t="s">
        <v>18</v>
      </c>
      <c r="F339" s="17"/>
      <c r="G339" s="186"/>
      <c r="H339" s="213"/>
      <c r="I339" s="186"/>
      <c r="J339" s="186"/>
    </row>
    <row r="340" spans="1:10" s="18" customFormat="1" ht="28.5" customHeight="1" hidden="1">
      <c r="A340" s="16" t="s">
        <v>21</v>
      </c>
      <c r="B340" s="27" t="s">
        <v>152</v>
      </c>
      <c r="C340" s="27" t="s">
        <v>201</v>
      </c>
      <c r="D340" s="27" t="s">
        <v>119</v>
      </c>
      <c r="E340" s="17" t="s">
        <v>19</v>
      </c>
      <c r="F340" s="17"/>
      <c r="G340" s="186"/>
      <c r="H340" s="213"/>
      <c r="I340" s="186"/>
      <c r="J340" s="186"/>
    </row>
    <row r="341" spans="1:10" s="18" customFormat="1" ht="30" customHeight="1" hidden="1">
      <c r="A341" s="11" t="s">
        <v>20</v>
      </c>
      <c r="B341" s="4"/>
      <c r="C341" s="4"/>
      <c r="D341" s="4"/>
      <c r="E341" s="4"/>
      <c r="F341" s="4" t="s">
        <v>183</v>
      </c>
      <c r="G341" s="186"/>
      <c r="H341" s="213"/>
      <c r="I341" s="186"/>
      <c r="J341" s="186"/>
    </row>
    <row r="342" spans="1:10" s="21" customFormat="1" ht="12.75" hidden="1">
      <c r="A342" s="19"/>
      <c r="B342" s="20"/>
      <c r="C342" s="20"/>
      <c r="D342" s="20"/>
      <c r="E342" s="20"/>
      <c r="F342" s="20"/>
      <c r="G342" s="214"/>
      <c r="H342" s="215"/>
      <c r="I342" s="214"/>
      <c r="J342" s="214"/>
    </row>
    <row r="343" spans="1:10" s="15" customFormat="1" ht="12.75">
      <c r="A343" s="159" t="s">
        <v>64</v>
      </c>
      <c r="B343" s="48" t="s">
        <v>153</v>
      </c>
      <c r="C343" s="48" t="s">
        <v>88</v>
      </c>
      <c r="D343" s="48" t="s">
        <v>2</v>
      </c>
      <c r="E343" s="48"/>
      <c r="F343" s="48"/>
      <c r="G343" s="222">
        <f>G356+G358+G359+G357</f>
        <v>1008535.4999999999</v>
      </c>
      <c r="H343" s="196">
        <f>H356+H358+H359</f>
        <v>194714.95</v>
      </c>
      <c r="I343" s="222">
        <f>I356+I358+I359+I357+I360+I361</f>
        <v>813820.5499999999</v>
      </c>
      <c r="J343" s="222">
        <f>J356+J358+J359</f>
        <v>0</v>
      </c>
    </row>
    <row r="344" spans="1:10" s="45" customFormat="1" ht="12.75" hidden="1">
      <c r="A344" s="43" t="s">
        <v>65</v>
      </c>
      <c r="B344" s="44" t="s">
        <v>154</v>
      </c>
      <c r="C344" s="44" t="s">
        <v>88</v>
      </c>
      <c r="D344" s="44" t="s">
        <v>2</v>
      </c>
      <c r="E344" s="44"/>
      <c r="F344" s="44"/>
      <c r="G344" s="197">
        <f>SUM(G348:G354)</f>
        <v>0</v>
      </c>
      <c r="H344" s="198"/>
      <c r="I344" s="197"/>
      <c r="J344" s="197"/>
    </row>
    <row r="345" spans="1:10" s="68" customFormat="1" ht="12.75" hidden="1">
      <c r="A345" s="66" t="s">
        <v>121</v>
      </c>
      <c r="B345" s="50" t="s">
        <v>154</v>
      </c>
      <c r="C345" s="50" t="s">
        <v>122</v>
      </c>
      <c r="D345" s="50" t="s">
        <v>2</v>
      </c>
      <c r="E345" s="50"/>
      <c r="F345" s="50"/>
      <c r="G345" s="225"/>
      <c r="H345" s="226"/>
      <c r="I345" s="225"/>
      <c r="J345" s="225"/>
    </row>
    <row r="346" spans="1:10" s="45" customFormat="1" ht="12.75" hidden="1">
      <c r="A346" s="43" t="s">
        <v>217</v>
      </c>
      <c r="B346" s="44" t="s">
        <v>154</v>
      </c>
      <c r="C346" s="44" t="s">
        <v>122</v>
      </c>
      <c r="D346" s="44" t="s">
        <v>123</v>
      </c>
      <c r="E346" s="44"/>
      <c r="F346" s="44"/>
      <c r="G346" s="197"/>
      <c r="H346" s="198"/>
      <c r="I346" s="197"/>
      <c r="J346" s="197"/>
    </row>
    <row r="347" spans="1:10" s="45" customFormat="1" ht="25.5" hidden="1">
      <c r="A347" s="43" t="s">
        <v>213</v>
      </c>
      <c r="B347" s="44" t="s">
        <v>154</v>
      </c>
      <c r="C347" s="44" t="s">
        <v>122</v>
      </c>
      <c r="D347" s="44" t="s">
        <v>123</v>
      </c>
      <c r="E347" s="44" t="s">
        <v>212</v>
      </c>
      <c r="F347" s="44"/>
      <c r="G347" s="197"/>
      <c r="H347" s="198"/>
      <c r="I347" s="197"/>
      <c r="J347" s="197"/>
    </row>
    <row r="348" spans="1:10" s="21" customFormat="1" ht="25.5" hidden="1">
      <c r="A348" s="19" t="s">
        <v>216</v>
      </c>
      <c r="B348" s="20" t="s">
        <v>154</v>
      </c>
      <c r="C348" s="20" t="s">
        <v>122</v>
      </c>
      <c r="D348" s="20" t="s">
        <v>123</v>
      </c>
      <c r="E348" s="20" t="s">
        <v>211</v>
      </c>
      <c r="F348" s="20"/>
      <c r="G348" s="214"/>
      <c r="H348" s="215"/>
      <c r="I348" s="214"/>
      <c r="J348" s="214"/>
    </row>
    <row r="349" spans="1:10" s="45" customFormat="1" ht="12.75" hidden="1">
      <c r="A349" s="43" t="s">
        <v>42</v>
      </c>
      <c r="B349" s="44" t="s">
        <v>154</v>
      </c>
      <c r="C349" s="44" t="s">
        <v>122</v>
      </c>
      <c r="D349" s="44" t="s">
        <v>123</v>
      </c>
      <c r="E349" s="44" t="s">
        <v>43</v>
      </c>
      <c r="F349" s="44"/>
      <c r="G349" s="197"/>
      <c r="H349" s="198"/>
      <c r="I349" s="197"/>
      <c r="J349" s="197"/>
    </row>
    <row r="350" spans="1:10" s="21" customFormat="1" ht="12.75" hidden="1">
      <c r="A350" s="19" t="s">
        <v>44</v>
      </c>
      <c r="B350" s="20" t="s">
        <v>154</v>
      </c>
      <c r="C350" s="20" t="s">
        <v>122</v>
      </c>
      <c r="D350" s="20" t="s">
        <v>123</v>
      </c>
      <c r="E350" s="20" t="s">
        <v>45</v>
      </c>
      <c r="F350" s="20"/>
      <c r="G350" s="214"/>
      <c r="H350" s="215"/>
      <c r="I350" s="214"/>
      <c r="J350" s="214"/>
    </row>
    <row r="351" spans="1:10" s="21" customFormat="1" ht="25.5" hidden="1">
      <c r="A351" s="19" t="s">
        <v>214</v>
      </c>
      <c r="B351" s="20"/>
      <c r="C351" s="20"/>
      <c r="D351" s="20"/>
      <c r="E351" s="20"/>
      <c r="F351" s="20" t="s">
        <v>210</v>
      </c>
      <c r="G351" s="214"/>
      <c r="H351" s="215"/>
      <c r="I351" s="214"/>
      <c r="J351" s="214"/>
    </row>
    <row r="352" spans="1:10" s="45" customFormat="1" ht="38.25" hidden="1">
      <c r="A352" s="43" t="s">
        <v>218</v>
      </c>
      <c r="B352" s="44" t="s">
        <v>154</v>
      </c>
      <c r="C352" s="44" t="s">
        <v>122</v>
      </c>
      <c r="D352" s="44" t="s">
        <v>215</v>
      </c>
      <c r="E352" s="44"/>
      <c r="F352" s="44"/>
      <c r="G352" s="197"/>
      <c r="H352" s="198"/>
      <c r="I352" s="197"/>
      <c r="J352" s="197"/>
    </row>
    <row r="353" spans="1:10" s="45" customFormat="1" ht="25.5" hidden="1">
      <c r="A353" s="43" t="s">
        <v>213</v>
      </c>
      <c r="B353" s="44" t="s">
        <v>154</v>
      </c>
      <c r="C353" s="44" t="s">
        <v>122</v>
      </c>
      <c r="D353" s="44" t="s">
        <v>215</v>
      </c>
      <c r="E353" s="44" t="s">
        <v>212</v>
      </c>
      <c r="F353" s="44"/>
      <c r="G353" s="197"/>
      <c r="H353" s="198"/>
      <c r="I353" s="197"/>
      <c r="J353" s="197"/>
    </row>
    <row r="354" spans="1:10" s="21" customFormat="1" ht="25.5" hidden="1">
      <c r="A354" s="19" t="s">
        <v>216</v>
      </c>
      <c r="B354" s="20" t="s">
        <v>154</v>
      </c>
      <c r="C354" s="20" t="s">
        <v>122</v>
      </c>
      <c r="D354" s="20" t="s">
        <v>215</v>
      </c>
      <c r="E354" s="20" t="s">
        <v>211</v>
      </c>
      <c r="F354" s="20"/>
      <c r="G354" s="214"/>
      <c r="H354" s="215"/>
      <c r="I354" s="214"/>
      <c r="J354" s="214"/>
    </row>
    <row r="355" spans="1:10" s="21" customFormat="1" ht="12.75" hidden="1">
      <c r="A355" s="19"/>
      <c r="B355" s="20"/>
      <c r="C355" s="20"/>
      <c r="D355" s="20"/>
      <c r="E355" s="20"/>
      <c r="F355" s="20"/>
      <c r="G355" s="214"/>
      <c r="H355" s="215"/>
      <c r="I355" s="214"/>
      <c r="J355" s="214"/>
    </row>
    <row r="356" spans="1:10" s="45" customFormat="1" ht="63.75">
      <c r="A356" s="16" t="s">
        <v>432</v>
      </c>
      <c r="B356" s="17" t="s">
        <v>155</v>
      </c>
      <c r="C356" s="17" t="s">
        <v>220</v>
      </c>
      <c r="D356" s="17" t="s">
        <v>418</v>
      </c>
      <c r="E356" s="29" t="s">
        <v>211</v>
      </c>
      <c r="F356" s="20" t="s">
        <v>401</v>
      </c>
      <c r="G356" s="186">
        <v>251720.33</v>
      </c>
      <c r="H356" s="229">
        <v>157441.2</v>
      </c>
      <c r="I356" s="186">
        <f aca="true" t="shared" si="7" ref="I356:I362">G356-H356</f>
        <v>94279.12999999998</v>
      </c>
      <c r="J356" s="186"/>
    </row>
    <row r="357" spans="1:10" s="45" customFormat="1" ht="63.75">
      <c r="A357" s="16" t="s">
        <v>419</v>
      </c>
      <c r="B357" s="17" t="s">
        <v>155</v>
      </c>
      <c r="C357" s="17" t="s">
        <v>220</v>
      </c>
      <c r="D357" s="17" t="s">
        <v>421</v>
      </c>
      <c r="E357" s="29" t="s">
        <v>211</v>
      </c>
      <c r="F357" s="20" t="s">
        <v>401</v>
      </c>
      <c r="G357" s="186">
        <v>2910.2</v>
      </c>
      <c r="H357" s="229"/>
      <c r="I357" s="186">
        <f t="shared" si="7"/>
        <v>2910.2</v>
      </c>
      <c r="J357" s="186"/>
    </row>
    <row r="358" spans="1:10" s="45" customFormat="1" ht="12.75">
      <c r="A358" s="16" t="s">
        <v>332</v>
      </c>
      <c r="B358" s="17" t="s">
        <v>154</v>
      </c>
      <c r="C358" s="17" t="s">
        <v>122</v>
      </c>
      <c r="D358" s="17" t="s">
        <v>215</v>
      </c>
      <c r="E358" s="29" t="s">
        <v>31</v>
      </c>
      <c r="F358" s="20" t="s">
        <v>402</v>
      </c>
      <c r="G358" s="186">
        <v>0</v>
      </c>
      <c r="H358" s="215"/>
      <c r="I358" s="186">
        <f t="shared" si="7"/>
        <v>0</v>
      </c>
      <c r="J358" s="186">
        <v>0</v>
      </c>
    </row>
    <row r="359" spans="1:10" s="45" customFormat="1" ht="25.5">
      <c r="A359" s="19" t="s">
        <v>422</v>
      </c>
      <c r="B359" s="20" t="s">
        <v>155</v>
      </c>
      <c r="C359" s="20" t="s">
        <v>423</v>
      </c>
      <c r="D359" s="20" t="s">
        <v>85</v>
      </c>
      <c r="E359" s="20" t="s">
        <v>211</v>
      </c>
      <c r="F359" s="20" t="s">
        <v>369</v>
      </c>
      <c r="G359" s="214">
        <v>753904.97</v>
      </c>
      <c r="H359" s="198">
        <v>37273.75</v>
      </c>
      <c r="I359" s="186">
        <f t="shared" si="7"/>
        <v>716631.22</v>
      </c>
      <c r="J359" s="197">
        <f>J360</f>
        <v>0</v>
      </c>
    </row>
    <row r="360" spans="1:10" s="45" customFormat="1" ht="12.75">
      <c r="A360" s="19" t="s">
        <v>424</v>
      </c>
      <c r="B360" s="20" t="s">
        <v>155</v>
      </c>
      <c r="C360" s="20" t="s">
        <v>423</v>
      </c>
      <c r="D360" s="20" t="s">
        <v>425</v>
      </c>
      <c r="E360" s="20" t="s">
        <v>211</v>
      </c>
      <c r="F360" s="20" t="s">
        <v>369</v>
      </c>
      <c r="G360" s="214"/>
      <c r="H360" s="215"/>
      <c r="I360" s="186">
        <f t="shared" si="7"/>
        <v>0</v>
      </c>
      <c r="J360" s="214">
        <f>J361+J362</f>
        <v>0</v>
      </c>
    </row>
    <row r="361" spans="1:10" s="45" customFormat="1" ht="51">
      <c r="A361" s="19" t="s">
        <v>426</v>
      </c>
      <c r="B361" s="20" t="s">
        <v>155</v>
      </c>
      <c r="C361" s="20" t="s">
        <v>423</v>
      </c>
      <c r="D361" s="20" t="s">
        <v>427</v>
      </c>
      <c r="E361" s="20" t="s">
        <v>211</v>
      </c>
      <c r="F361" s="20" t="s">
        <v>369</v>
      </c>
      <c r="G361" s="214"/>
      <c r="H361" s="264"/>
      <c r="I361" s="186">
        <f t="shared" si="7"/>
        <v>0</v>
      </c>
      <c r="J361" s="214"/>
    </row>
    <row r="362" spans="1:10" s="45" customFormat="1" ht="12.75">
      <c r="A362" s="19" t="s">
        <v>428</v>
      </c>
      <c r="B362" s="20" t="s">
        <v>155</v>
      </c>
      <c r="C362" s="20" t="s">
        <v>423</v>
      </c>
      <c r="D362" s="20" t="s">
        <v>429</v>
      </c>
      <c r="E362" s="20" t="s">
        <v>211</v>
      </c>
      <c r="F362" s="20" t="s">
        <v>369</v>
      </c>
      <c r="G362" s="214"/>
      <c r="H362" s="215"/>
      <c r="I362" s="186">
        <f t="shared" si="7"/>
        <v>0</v>
      </c>
      <c r="J362" s="214"/>
    </row>
    <row r="363" spans="1:10" s="15" customFormat="1" ht="12.75" hidden="1">
      <c r="A363" s="23" t="s">
        <v>67</v>
      </c>
      <c r="B363" s="24" t="s">
        <v>156</v>
      </c>
      <c r="C363" s="24"/>
      <c r="D363" s="24"/>
      <c r="E363" s="24"/>
      <c r="F363" s="24"/>
      <c r="G363" s="196"/>
      <c r="H363" s="196"/>
      <c r="I363" s="211"/>
      <c r="J363" s="211"/>
    </row>
    <row r="364" spans="1:10" s="15" customFormat="1" ht="12.75" hidden="1">
      <c r="A364" s="23" t="s">
        <v>68</v>
      </c>
      <c r="B364" s="24" t="s">
        <v>157</v>
      </c>
      <c r="C364" s="24" t="s">
        <v>142</v>
      </c>
      <c r="D364" s="24" t="s">
        <v>69</v>
      </c>
      <c r="E364" s="24"/>
      <c r="F364" s="24"/>
      <c r="G364" s="218">
        <f>SUM(G365,G373,G393,G396,G398)</f>
        <v>0</v>
      </c>
      <c r="H364" s="196"/>
      <c r="I364" s="211"/>
      <c r="J364" s="211"/>
    </row>
    <row r="365" spans="1:10" s="45" customFormat="1" ht="14.25" customHeight="1" hidden="1">
      <c r="A365" s="43" t="s">
        <v>4</v>
      </c>
      <c r="B365" s="44" t="s">
        <v>157</v>
      </c>
      <c r="C365" s="44" t="s">
        <v>142</v>
      </c>
      <c r="D365" s="44" t="s">
        <v>69</v>
      </c>
      <c r="E365" s="44" t="s">
        <v>5</v>
      </c>
      <c r="F365" s="44"/>
      <c r="G365" s="197">
        <f>SUM(G366,G367,G372)</f>
        <v>0</v>
      </c>
      <c r="H365" s="198"/>
      <c r="I365" s="197"/>
      <c r="J365" s="197"/>
    </row>
    <row r="366" spans="1:10" s="21" customFormat="1" ht="12.75" hidden="1">
      <c r="A366" s="16" t="s">
        <v>6</v>
      </c>
      <c r="B366" s="27" t="s">
        <v>157</v>
      </c>
      <c r="C366" s="27" t="s">
        <v>142</v>
      </c>
      <c r="D366" s="27" t="s">
        <v>69</v>
      </c>
      <c r="E366" s="17" t="s">
        <v>7</v>
      </c>
      <c r="F366" s="17"/>
      <c r="G366" s="186"/>
      <c r="H366" s="215"/>
      <c r="I366" s="214"/>
      <c r="J366" s="214"/>
    </row>
    <row r="367" spans="1:10" s="21" customFormat="1" ht="12.75" hidden="1">
      <c r="A367" s="16" t="s">
        <v>8</v>
      </c>
      <c r="B367" s="27" t="s">
        <v>157</v>
      </c>
      <c r="C367" s="27" t="s">
        <v>142</v>
      </c>
      <c r="D367" s="27" t="s">
        <v>69</v>
      </c>
      <c r="E367" s="17" t="s">
        <v>9</v>
      </c>
      <c r="F367" s="17"/>
      <c r="G367" s="186">
        <f>SUM(G368:G371)</f>
        <v>0</v>
      </c>
      <c r="H367" s="215"/>
      <c r="I367" s="214"/>
      <c r="J367" s="214"/>
    </row>
    <row r="368" spans="1:10" s="21" customFormat="1" ht="25.5" hidden="1">
      <c r="A368" s="11" t="s">
        <v>10</v>
      </c>
      <c r="B368" s="4"/>
      <c r="C368" s="4"/>
      <c r="D368" s="4"/>
      <c r="E368" s="4"/>
      <c r="F368" s="4" t="s">
        <v>183</v>
      </c>
      <c r="G368" s="200"/>
      <c r="H368" s="215"/>
      <c r="I368" s="214"/>
      <c r="J368" s="214"/>
    </row>
    <row r="369" spans="1:10" s="21" customFormat="1" ht="12.75" customHeight="1" hidden="1">
      <c r="A369" s="12" t="s">
        <v>11</v>
      </c>
      <c r="B369" s="4"/>
      <c r="C369" s="4"/>
      <c r="D369" s="4"/>
      <c r="E369" s="4"/>
      <c r="F369" s="4" t="s">
        <v>200</v>
      </c>
      <c r="G369" s="200"/>
      <c r="H369" s="215"/>
      <c r="I369" s="214"/>
      <c r="J369" s="214"/>
    </row>
    <row r="370" spans="1:10" s="30" customFormat="1" ht="12.75" hidden="1">
      <c r="A370" s="65" t="s">
        <v>130</v>
      </c>
      <c r="B370" s="29"/>
      <c r="C370" s="29"/>
      <c r="D370" s="29"/>
      <c r="E370" s="29"/>
      <c r="F370" s="29" t="s">
        <v>199</v>
      </c>
      <c r="G370" s="212"/>
      <c r="H370" s="205"/>
      <c r="I370" s="212"/>
      <c r="J370" s="212"/>
    </row>
    <row r="371" spans="1:10" s="21" customFormat="1" ht="25.5" hidden="1">
      <c r="A371" s="6" t="s">
        <v>12</v>
      </c>
      <c r="B371" s="4"/>
      <c r="C371" s="4"/>
      <c r="D371" s="4"/>
      <c r="E371" s="4"/>
      <c r="F371" s="4" t="s">
        <v>184</v>
      </c>
      <c r="G371" s="200"/>
      <c r="H371" s="215"/>
      <c r="I371" s="214"/>
      <c r="J371" s="214"/>
    </row>
    <row r="372" spans="1:10" s="21" customFormat="1" ht="12.75" hidden="1">
      <c r="A372" s="16" t="s">
        <v>13</v>
      </c>
      <c r="B372" s="27" t="s">
        <v>157</v>
      </c>
      <c r="C372" s="27" t="s">
        <v>142</v>
      </c>
      <c r="D372" s="27" t="s">
        <v>69</v>
      </c>
      <c r="E372" s="17" t="s">
        <v>14</v>
      </c>
      <c r="F372" s="17"/>
      <c r="G372" s="186"/>
      <c r="H372" s="215"/>
      <c r="I372" s="214"/>
      <c r="J372" s="214"/>
    </row>
    <row r="373" spans="1:10" s="45" customFormat="1" ht="12.75" hidden="1">
      <c r="A373" s="43" t="s">
        <v>15</v>
      </c>
      <c r="B373" s="44" t="s">
        <v>157</v>
      </c>
      <c r="C373" s="44" t="s">
        <v>142</v>
      </c>
      <c r="D373" s="44" t="s">
        <v>69</v>
      </c>
      <c r="E373" s="44" t="s">
        <v>16</v>
      </c>
      <c r="F373" s="44"/>
      <c r="G373" s="197">
        <f>SUM(G374:G375,G378,G382,G383,G389,)</f>
        <v>0</v>
      </c>
      <c r="H373" s="198"/>
      <c r="I373" s="197"/>
      <c r="J373" s="197"/>
    </row>
    <row r="374" spans="1:10" s="21" customFormat="1" ht="12.75" hidden="1">
      <c r="A374" s="16" t="s">
        <v>17</v>
      </c>
      <c r="B374" s="27" t="s">
        <v>157</v>
      </c>
      <c r="C374" s="27" t="s">
        <v>142</v>
      </c>
      <c r="D374" s="27" t="s">
        <v>69</v>
      </c>
      <c r="E374" s="17" t="s">
        <v>18</v>
      </c>
      <c r="F374" s="17"/>
      <c r="G374" s="186"/>
      <c r="H374" s="215"/>
      <c r="I374" s="214"/>
      <c r="J374" s="214"/>
    </row>
    <row r="375" spans="1:10" s="21" customFormat="1" ht="12.75" hidden="1">
      <c r="A375" s="16" t="s">
        <v>21</v>
      </c>
      <c r="B375" s="27" t="s">
        <v>157</v>
      </c>
      <c r="C375" s="27" t="s">
        <v>142</v>
      </c>
      <c r="D375" s="27" t="s">
        <v>69</v>
      </c>
      <c r="E375" s="17" t="s">
        <v>19</v>
      </c>
      <c r="F375" s="17"/>
      <c r="G375" s="186">
        <f>SUM(G376:G377)</f>
        <v>0</v>
      </c>
      <c r="H375" s="215"/>
      <c r="I375" s="214"/>
      <c r="J375" s="214"/>
    </row>
    <row r="376" spans="1:10" s="21" customFormat="1" ht="25.5" hidden="1">
      <c r="A376" s="11" t="s">
        <v>20</v>
      </c>
      <c r="B376" s="4"/>
      <c r="C376" s="4"/>
      <c r="D376" s="4"/>
      <c r="E376" s="4"/>
      <c r="F376" s="4" t="s">
        <v>183</v>
      </c>
      <c r="G376" s="200"/>
      <c r="H376" s="215"/>
      <c r="I376" s="214"/>
      <c r="J376" s="214"/>
    </row>
    <row r="377" spans="1:10" s="21" customFormat="1" ht="38.25" hidden="1">
      <c r="A377" s="8" t="s">
        <v>22</v>
      </c>
      <c r="B377" s="4"/>
      <c r="C377" s="4"/>
      <c r="D377" s="4"/>
      <c r="E377" s="4"/>
      <c r="F377" s="4" t="s">
        <v>185</v>
      </c>
      <c r="G377" s="200"/>
      <c r="H377" s="215"/>
      <c r="I377" s="214"/>
      <c r="J377" s="214"/>
    </row>
    <row r="378" spans="1:10" s="21" customFormat="1" ht="12.75" hidden="1">
      <c r="A378" s="16" t="s">
        <v>23</v>
      </c>
      <c r="B378" s="27" t="s">
        <v>157</v>
      </c>
      <c r="C378" s="27" t="s">
        <v>142</v>
      </c>
      <c r="D378" s="27" t="s">
        <v>69</v>
      </c>
      <c r="E378" s="17" t="s">
        <v>24</v>
      </c>
      <c r="F378" s="17"/>
      <c r="G378" s="186">
        <f>SUM(G379:G381)</f>
        <v>0</v>
      </c>
      <c r="H378" s="215"/>
      <c r="I378" s="214"/>
      <c r="J378" s="214"/>
    </row>
    <row r="379" spans="1:10" s="21" customFormat="1" ht="25.5" hidden="1">
      <c r="A379" s="7" t="s">
        <v>25</v>
      </c>
      <c r="B379" s="4"/>
      <c r="C379" s="4"/>
      <c r="D379" s="4"/>
      <c r="E379" s="4"/>
      <c r="F379" s="4" t="s">
        <v>186</v>
      </c>
      <c r="G379" s="200"/>
      <c r="H379" s="215"/>
      <c r="I379" s="214"/>
      <c r="J379" s="214"/>
    </row>
    <row r="380" spans="1:10" s="21" customFormat="1" ht="25.5" hidden="1">
      <c r="A380" s="7" t="s">
        <v>26</v>
      </c>
      <c r="B380" s="4"/>
      <c r="C380" s="4"/>
      <c r="D380" s="4"/>
      <c r="E380" s="4"/>
      <c r="F380" s="4" t="s">
        <v>187</v>
      </c>
      <c r="G380" s="200"/>
      <c r="H380" s="215"/>
      <c r="I380" s="214"/>
      <c r="J380" s="214"/>
    </row>
    <row r="381" spans="1:10" s="21" customFormat="1" ht="12.75" hidden="1">
      <c r="A381" s="7" t="s">
        <v>27</v>
      </c>
      <c r="B381" s="4"/>
      <c r="C381" s="4"/>
      <c r="D381" s="4"/>
      <c r="E381" s="4"/>
      <c r="F381" s="4" t="s">
        <v>188</v>
      </c>
      <c r="G381" s="200"/>
      <c r="H381" s="215"/>
      <c r="I381" s="214"/>
      <c r="J381" s="214"/>
    </row>
    <row r="382" spans="1:10" s="21" customFormat="1" ht="13.5" customHeight="1" hidden="1">
      <c r="A382" s="16" t="s">
        <v>28</v>
      </c>
      <c r="B382" s="27" t="s">
        <v>157</v>
      </c>
      <c r="C382" s="27" t="s">
        <v>142</v>
      </c>
      <c r="D382" s="27" t="s">
        <v>69</v>
      </c>
      <c r="E382" s="17" t="s">
        <v>29</v>
      </c>
      <c r="F382" s="17"/>
      <c r="G382" s="186"/>
      <c r="H382" s="215"/>
      <c r="I382" s="214"/>
      <c r="J382" s="214"/>
    </row>
    <row r="383" spans="1:10" s="21" customFormat="1" ht="12.75" hidden="1">
      <c r="A383" s="16" t="s">
        <v>30</v>
      </c>
      <c r="B383" s="27" t="s">
        <v>157</v>
      </c>
      <c r="C383" s="27" t="s">
        <v>142</v>
      </c>
      <c r="D383" s="27" t="s">
        <v>69</v>
      </c>
      <c r="E383" s="17" t="s">
        <v>31</v>
      </c>
      <c r="F383" s="17"/>
      <c r="G383" s="186">
        <f>SUM(G384:G388)</f>
        <v>0</v>
      </c>
      <c r="H383" s="215"/>
      <c r="I383" s="214"/>
      <c r="J383" s="214"/>
    </row>
    <row r="384" spans="1:10" s="21" customFormat="1" ht="12.75" hidden="1">
      <c r="A384" s="7" t="s">
        <v>32</v>
      </c>
      <c r="B384" s="17"/>
      <c r="C384" s="17"/>
      <c r="D384" s="17"/>
      <c r="E384" s="17"/>
      <c r="F384" s="17" t="s">
        <v>189</v>
      </c>
      <c r="G384" s="186"/>
      <c r="H384" s="215"/>
      <c r="I384" s="214"/>
      <c r="J384" s="214"/>
    </row>
    <row r="385" spans="1:10" s="21" customFormat="1" ht="12.75" hidden="1">
      <c r="A385" s="7" t="s">
        <v>33</v>
      </c>
      <c r="B385" s="17"/>
      <c r="C385" s="17"/>
      <c r="D385" s="17"/>
      <c r="E385" s="17"/>
      <c r="F385" s="17" t="s">
        <v>191</v>
      </c>
      <c r="G385" s="186"/>
      <c r="H385" s="215"/>
      <c r="I385" s="214"/>
      <c r="J385" s="214"/>
    </row>
    <row r="386" spans="1:10" s="21" customFormat="1" ht="25.5" hidden="1">
      <c r="A386" s="7" t="s">
        <v>34</v>
      </c>
      <c r="B386" s="17"/>
      <c r="C386" s="17"/>
      <c r="D386" s="17"/>
      <c r="E386" s="17"/>
      <c r="F386" s="17" t="s">
        <v>221</v>
      </c>
      <c r="G386" s="186"/>
      <c r="H386" s="215"/>
      <c r="I386" s="214"/>
      <c r="J386" s="214"/>
    </row>
    <row r="387" spans="1:10" s="21" customFormat="1" ht="25.5" hidden="1">
      <c r="A387" s="7" t="s">
        <v>35</v>
      </c>
      <c r="B387" s="17"/>
      <c r="C387" s="17"/>
      <c r="D387" s="17"/>
      <c r="E387" s="17"/>
      <c r="F387" s="17" t="s">
        <v>190</v>
      </c>
      <c r="G387" s="186"/>
      <c r="H387" s="215"/>
      <c r="I387" s="214"/>
      <c r="J387" s="214"/>
    </row>
    <row r="388" spans="1:10" s="21" customFormat="1" ht="51" hidden="1">
      <c r="A388" s="7" t="s">
        <v>36</v>
      </c>
      <c r="B388" s="17"/>
      <c r="C388" s="17"/>
      <c r="D388" s="17"/>
      <c r="E388" s="17"/>
      <c r="F388" s="17" t="s">
        <v>190</v>
      </c>
      <c r="G388" s="186"/>
      <c r="H388" s="215"/>
      <c r="I388" s="214"/>
      <c r="J388" s="214"/>
    </row>
    <row r="389" spans="1:10" s="21" customFormat="1" ht="12.75" hidden="1">
      <c r="A389" s="16" t="s">
        <v>37</v>
      </c>
      <c r="B389" s="27" t="s">
        <v>157</v>
      </c>
      <c r="C389" s="27" t="s">
        <v>142</v>
      </c>
      <c r="D389" s="27" t="s">
        <v>69</v>
      </c>
      <c r="E389" s="17" t="s">
        <v>38</v>
      </c>
      <c r="F389" s="17"/>
      <c r="G389" s="186">
        <f>SUM(G390:G392)</f>
        <v>0</v>
      </c>
      <c r="H389" s="215"/>
      <c r="I389" s="214"/>
      <c r="J389" s="214"/>
    </row>
    <row r="390" spans="1:10" s="21" customFormat="1" ht="38.25" hidden="1">
      <c r="A390" s="11" t="s">
        <v>39</v>
      </c>
      <c r="B390" s="20"/>
      <c r="C390" s="20"/>
      <c r="D390" s="20"/>
      <c r="E390" s="20"/>
      <c r="F390" s="20" t="s">
        <v>183</v>
      </c>
      <c r="G390" s="214"/>
      <c r="H390" s="215"/>
      <c r="I390" s="214"/>
      <c r="J390" s="214"/>
    </row>
    <row r="391" spans="1:10" s="21" customFormat="1" ht="38.25" hidden="1">
      <c r="A391" s="19" t="s">
        <v>40</v>
      </c>
      <c r="B391" s="20"/>
      <c r="C391" s="20"/>
      <c r="D391" s="20"/>
      <c r="E391" s="20"/>
      <c r="F391" s="20" t="s">
        <v>222</v>
      </c>
      <c r="G391" s="214"/>
      <c r="H391" s="215"/>
      <c r="I391" s="214"/>
      <c r="J391" s="214"/>
    </row>
    <row r="392" spans="1:10" s="21" customFormat="1" ht="27" customHeight="1" hidden="1">
      <c r="A392" s="12" t="s">
        <v>41</v>
      </c>
      <c r="B392" s="20"/>
      <c r="C392" s="20"/>
      <c r="D392" s="20"/>
      <c r="E392" s="20"/>
      <c r="F392" s="20" t="s">
        <v>192</v>
      </c>
      <c r="G392" s="214"/>
      <c r="H392" s="215"/>
      <c r="I392" s="214"/>
      <c r="J392" s="214"/>
    </row>
    <row r="393" spans="1:10" s="45" customFormat="1" ht="12.75" hidden="1">
      <c r="A393" s="43" t="s">
        <v>42</v>
      </c>
      <c r="B393" s="44" t="s">
        <v>157</v>
      </c>
      <c r="C393" s="44" t="s">
        <v>142</v>
      </c>
      <c r="D393" s="44" t="s">
        <v>69</v>
      </c>
      <c r="E393" s="44" t="s">
        <v>43</v>
      </c>
      <c r="F393" s="44"/>
      <c r="G393" s="197">
        <f>SUM(G394)</f>
        <v>0</v>
      </c>
      <c r="H393" s="198"/>
      <c r="I393" s="197"/>
      <c r="J393" s="197"/>
    </row>
    <row r="394" spans="1:10" s="21" customFormat="1" ht="12.75" hidden="1">
      <c r="A394" s="16" t="s">
        <v>44</v>
      </c>
      <c r="B394" s="27" t="s">
        <v>157</v>
      </c>
      <c r="C394" s="27" t="s">
        <v>142</v>
      </c>
      <c r="D394" s="27" t="s">
        <v>69</v>
      </c>
      <c r="E394" s="17" t="s">
        <v>45</v>
      </c>
      <c r="F394" s="17"/>
      <c r="G394" s="186">
        <f>SUM(G395)</f>
        <v>0</v>
      </c>
      <c r="H394" s="215"/>
      <c r="I394" s="214"/>
      <c r="J394" s="214"/>
    </row>
    <row r="395" spans="1:10" s="21" customFormat="1" ht="12.75" hidden="1">
      <c r="A395" s="6" t="s">
        <v>46</v>
      </c>
      <c r="B395" s="20"/>
      <c r="C395" s="20"/>
      <c r="D395" s="20"/>
      <c r="E395" s="20"/>
      <c r="F395" s="20"/>
      <c r="G395" s="214"/>
      <c r="H395" s="215"/>
      <c r="I395" s="214"/>
      <c r="J395" s="214"/>
    </row>
    <row r="396" spans="1:10" s="45" customFormat="1" ht="12.75" hidden="1">
      <c r="A396" s="43" t="s">
        <v>47</v>
      </c>
      <c r="B396" s="44" t="s">
        <v>157</v>
      </c>
      <c r="C396" s="44" t="s">
        <v>142</v>
      </c>
      <c r="D396" s="44" t="s">
        <v>69</v>
      </c>
      <c r="E396" s="44" t="s">
        <v>48</v>
      </c>
      <c r="F396" s="44"/>
      <c r="G396" s="197">
        <f>SUM(G397)</f>
        <v>0</v>
      </c>
      <c r="H396" s="198"/>
      <c r="I396" s="197"/>
      <c r="J396" s="197"/>
    </row>
    <row r="397" spans="1:10" s="21" customFormat="1" ht="25.5" hidden="1">
      <c r="A397" s="12" t="s">
        <v>41</v>
      </c>
      <c r="B397" s="20"/>
      <c r="C397" s="20"/>
      <c r="D397" s="20"/>
      <c r="E397" s="20"/>
      <c r="F397" s="20"/>
      <c r="G397" s="214"/>
      <c r="H397" s="215"/>
      <c r="I397" s="214"/>
      <c r="J397" s="214"/>
    </row>
    <row r="398" spans="1:10" s="45" customFormat="1" ht="12.75" hidden="1">
      <c r="A398" s="43" t="s">
        <v>49</v>
      </c>
      <c r="B398" s="44" t="s">
        <v>157</v>
      </c>
      <c r="C398" s="44" t="s">
        <v>142</v>
      </c>
      <c r="D398" s="44" t="s">
        <v>69</v>
      </c>
      <c r="E398" s="44" t="s">
        <v>50</v>
      </c>
      <c r="F398" s="44"/>
      <c r="G398" s="197">
        <f>SUM(G399,G403)</f>
        <v>0</v>
      </c>
      <c r="H398" s="198"/>
      <c r="I398" s="197"/>
      <c r="J398" s="197"/>
    </row>
    <row r="399" spans="1:10" s="21" customFormat="1" ht="12.75" hidden="1">
      <c r="A399" s="16" t="s">
        <v>51</v>
      </c>
      <c r="B399" s="27" t="s">
        <v>157</v>
      </c>
      <c r="C399" s="27" t="s">
        <v>142</v>
      </c>
      <c r="D399" s="27" t="s">
        <v>69</v>
      </c>
      <c r="E399" s="17" t="s">
        <v>52</v>
      </c>
      <c r="F399" s="17"/>
      <c r="G399" s="186">
        <f>SUM(G400:G402)</f>
        <v>0</v>
      </c>
      <c r="H399" s="215"/>
      <c r="I399" s="214"/>
      <c r="J399" s="214"/>
    </row>
    <row r="400" spans="1:10" s="21" customFormat="1" ht="12.75" hidden="1">
      <c r="A400" s="7" t="s">
        <v>53</v>
      </c>
      <c r="B400" s="20"/>
      <c r="C400" s="20"/>
      <c r="D400" s="20"/>
      <c r="E400" s="20"/>
      <c r="F400" s="20" t="s">
        <v>223</v>
      </c>
      <c r="G400" s="214"/>
      <c r="H400" s="215"/>
      <c r="I400" s="214"/>
      <c r="J400" s="214"/>
    </row>
    <row r="401" spans="1:10" s="21" customFormat="1" ht="51" hidden="1">
      <c r="A401" s="7" t="s">
        <v>54</v>
      </c>
      <c r="B401" s="20"/>
      <c r="C401" s="20"/>
      <c r="D401" s="20"/>
      <c r="E401" s="20"/>
      <c r="F401" s="20" t="s">
        <v>194</v>
      </c>
      <c r="G401" s="214"/>
      <c r="H401" s="215"/>
      <c r="I401" s="214"/>
      <c r="J401" s="214"/>
    </row>
    <row r="402" spans="1:10" s="21" customFormat="1" ht="50.25" customHeight="1" hidden="1">
      <c r="A402" s="7" t="s">
        <v>55</v>
      </c>
      <c r="B402" s="20"/>
      <c r="C402" s="20"/>
      <c r="D402" s="20"/>
      <c r="E402" s="20"/>
      <c r="F402" s="20" t="s">
        <v>193</v>
      </c>
      <c r="G402" s="214"/>
      <c r="H402" s="215"/>
      <c r="I402" s="214"/>
      <c r="J402" s="214"/>
    </row>
    <row r="403" spans="1:10" s="21" customFormat="1" ht="14.25" customHeight="1" hidden="1">
      <c r="A403" s="16" t="s">
        <v>56</v>
      </c>
      <c r="B403" s="27" t="s">
        <v>157</v>
      </c>
      <c r="C403" s="27" t="s">
        <v>142</v>
      </c>
      <c r="D403" s="27" t="s">
        <v>69</v>
      </c>
      <c r="E403" s="17" t="s">
        <v>57</v>
      </c>
      <c r="F403" s="17"/>
      <c r="G403" s="186">
        <f>SUM(G404:G407)</f>
        <v>0</v>
      </c>
      <c r="H403" s="215"/>
      <c r="I403" s="214"/>
      <c r="J403" s="214"/>
    </row>
    <row r="404" spans="1:10" s="21" customFormat="1" ht="25.5" hidden="1">
      <c r="A404" s="7" t="s">
        <v>58</v>
      </c>
      <c r="B404" s="20"/>
      <c r="C404" s="20"/>
      <c r="D404" s="20"/>
      <c r="E404" s="20"/>
      <c r="F404" s="20" t="s">
        <v>195</v>
      </c>
      <c r="G404" s="214"/>
      <c r="H404" s="215"/>
      <c r="I404" s="214"/>
      <c r="J404" s="214"/>
    </row>
    <row r="405" spans="1:10" s="21" customFormat="1" ht="12.75" hidden="1">
      <c r="A405" s="7" t="s">
        <v>59</v>
      </c>
      <c r="B405" s="20"/>
      <c r="C405" s="20"/>
      <c r="D405" s="20"/>
      <c r="E405" s="20"/>
      <c r="F405" s="20" t="s">
        <v>196</v>
      </c>
      <c r="G405" s="214"/>
      <c r="H405" s="215"/>
      <c r="I405" s="214"/>
      <c r="J405" s="214"/>
    </row>
    <row r="406" spans="1:10" s="21" customFormat="1" ht="12.75" hidden="1">
      <c r="A406" s="7" t="s">
        <v>60</v>
      </c>
      <c r="B406" s="20"/>
      <c r="C406" s="20"/>
      <c r="D406" s="20"/>
      <c r="E406" s="20"/>
      <c r="F406" s="20" t="s">
        <v>197</v>
      </c>
      <c r="G406" s="214"/>
      <c r="H406" s="215"/>
      <c r="I406" s="214"/>
      <c r="J406" s="214"/>
    </row>
    <row r="407" spans="1:10" s="21" customFormat="1" ht="38.25" hidden="1">
      <c r="A407" s="7" t="s">
        <v>61</v>
      </c>
      <c r="B407" s="20"/>
      <c r="C407" s="20"/>
      <c r="D407" s="20"/>
      <c r="E407" s="20"/>
      <c r="F407" s="20" t="s">
        <v>198</v>
      </c>
      <c r="G407" s="214"/>
      <c r="H407" s="215"/>
      <c r="I407" s="214"/>
      <c r="J407" s="214"/>
    </row>
    <row r="408" spans="1:10" s="21" customFormat="1" ht="12.75" hidden="1">
      <c r="A408" s="23" t="s">
        <v>70</v>
      </c>
      <c r="B408" s="24" t="s">
        <v>158</v>
      </c>
      <c r="C408" s="24" t="s">
        <v>83</v>
      </c>
      <c r="D408" s="24"/>
      <c r="E408" s="24"/>
      <c r="F408" s="24"/>
      <c r="G408" s="196"/>
      <c r="H408" s="215"/>
      <c r="I408" s="214"/>
      <c r="J408" s="214"/>
    </row>
    <row r="409" spans="1:10" s="21" customFormat="1" ht="25.5" hidden="1">
      <c r="A409" s="26" t="s">
        <v>131</v>
      </c>
      <c r="B409" s="24" t="s">
        <v>158</v>
      </c>
      <c r="C409" s="24" t="s">
        <v>83</v>
      </c>
      <c r="D409" s="24" t="s">
        <v>69</v>
      </c>
      <c r="E409" s="24"/>
      <c r="F409" s="24"/>
      <c r="G409" s="218"/>
      <c r="H409" s="215"/>
      <c r="I409" s="214"/>
      <c r="J409" s="214"/>
    </row>
    <row r="410" spans="1:10" s="45" customFormat="1" ht="12.75" customHeight="1" hidden="1">
      <c r="A410" s="43" t="s">
        <v>4</v>
      </c>
      <c r="B410" s="44" t="s">
        <v>158</v>
      </c>
      <c r="C410" s="44" t="s">
        <v>83</v>
      </c>
      <c r="D410" s="44" t="s">
        <v>69</v>
      </c>
      <c r="E410" s="44" t="s">
        <v>5</v>
      </c>
      <c r="F410" s="44"/>
      <c r="G410" s="197"/>
      <c r="H410" s="198"/>
      <c r="I410" s="197"/>
      <c r="J410" s="197"/>
    </row>
    <row r="411" spans="1:10" s="21" customFormat="1" ht="12.75" hidden="1">
      <c r="A411" s="16" t="s">
        <v>6</v>
      </c>
      <c r="B411" s="17" t="s">
        <v>207</v>
      </c>
      <c r="C411" s="17" t="s">
        <v>83</v>
      </c>
      <c r="D411" s="17" t="s">
        <v>69</v>
      </c>
      <c r="E411" s="17" t="s">
        <v>7</v>
      </c>
      <c r="F411" s="17"/>
      <c r="G411" s="186"/>
      <c r="H411" s="215"/>
      <c r="I411" s="214"/>
      <c r="J411" s="214"/>
    </row>
    <row r="412" spans="1:10" s="21" customFormat="1" ht="9.75" customHeight="1" hidden="1">
      <c r="A412" s="16" t="s">
        <v>8</v>
      </c>
      <c r="B412" s="17" t="s">
        <v>207</v>
      </c>
      <c r="C412" s="17" t="s">
        <v>83</v>
      </c>
      <c r="D412" s="17" t="s">
        <v>69</v>
      </c>
      <c r="E412" s="17" t="s">
        <v>9</v>
      </c>
      <c r="F412" s="17"/>
      <c r="G412" s="186"/>
      <c r="H412" s="215"/>
      <c r="I412" s="214"/>
      <c r="J412" s="214"/>
    </row>
    <row r="413" spans="1:10" s="21" customFormat="1" ht="25.5" hidden="1">
      <c r="A413" s="11" t="s">
        <v>10</v>
      </c>
      <c r="B413" s="4"/>
      <c r="C413" s="4"/>
      <c r="D413" s="4"/>
      <c r="E413" s="4"/>
      <c r="F413" s="4" t="s">
        <v>183</v>
      </c>
      <c r="G413" s="200"/>
      <c r="H413" s="215"/>
      <c r="I413" s="214"/>
      <c r="J413" s="214"/>
    </row>
    <row r="414" spans="1:10" s="21" customFormat="1" ht="12.75" customHeight="1" hidden="1">
      <c r="A414" s="12" t="s">
        <v>11</v>
      </c>
      <c r="B414" s="4"/>
      <c r="C414" s="4"/>
      <c r="D414" s="4"/>
      <c r="E414" s="4"/>
      <c r="F414" s="4" t="s">
        <v>200</v>
      </c>
      <c r="G414" s="200"/>
      <c r="H414" s="215"/>
      <c r="I414" s="214"/>
      <c r="J414" s="214"/>
    </row>
    <row r="415" spans="1:10" s="30" customFormat="1" ht="12.75" hidden="1">
      <c r="A415" s="65" t="s">
        <v>130</v>
      </c>
      <c r="B415" s="29"/>
      <c r="C415" s="29"/>
      <c r="D415" s="29"/>
      <c r="E415" s="29"/>
      <c r="F415" s="29" t="s">
        <v>199</v>
      </c>
      <c r="G415" s="212"/>
      <c r="H415" s="205"/>
      <c r="I415" s="212"/>
      <c r="J415" s="212"/>
    </row>
    <row r="416" spans="1:10" s="21" customFormat="1" ht="25.5" hidden="1">
      <c r="A416" s="6" t="s">
        <v>12</v>
      </c>
      <c r="B416" s="4"/>
      <c r="C416" s="4"/>
      <c r="D416" s="4"/>
      <c r="E416" s="4"/>
      <c r="F416" s="4" t="s">
        <v>184</v>
      </c>
      <c r="G416" s="200"/>
      <c r="H416" s="215"/>
      <c r="I416" s="214"/>
      <c r="J416" s="214"/>
    </row>
    <row r="417" spans="1:10" s="21" customFormat="1" ht="12.75" hidden="1">
      <c r="A417" s="16" t="s">
        <v>13</v>
      </c>
      <c r="B417" s="17" t="s">
        <v>207</v>
      </c>
      <c r="C417" s="17" t="s">
        <v>83</v>
      </c>
      <c r="D417" s="17" t="s">
        <v>69</v>
      </c>
      <c r="E417" s="17" t="s">
        <v>14</v>
      </c>
      <c r="F417" s="17"/>
      <c r="G417" s="186"/>
      <c r="H417" s="215"/>
      <c r="I417" s="214"/>
      <c r="J417" s="214"/>
    </row>
    <row r="418" spans="1:10" s="45" customFormat="1" ht="12.75" hidden="1">
      <c r="A418" s="43" t="s">
        <v>15</v>
      </c>
      <c r="B418" s="44" t="s">
        <v>207</v>
      </c>
      <c r="C418" s="44" t="s">
        <v>83</v>
      </c>
      <c r="D418" s="44" t="s">
        <v>69</v>
      </c>
      <c r="E418" s="44" t="s">
        <v>16</v>
      </c>
      <c r="F418" s="44"/>
      <c r="G418" s="197"/>
      <c r="H418" s="198"/>
      <c r="I418" s="197"/>
      <c r="J418" s="197"/>
    </row>
    <row r="419" spans="1:10" s="21" customFormat="1" ht="12.75" hidden="1">
      <c r="A419" s="16" t="s">
        <v>17</v>
      </c>
      <c r="B419" s="17" t="s">
        <v>207</v>
      </c>
      <c r="C419" s="17" t="s">
        <v>83</v>
      </c>
      <c r="D419" s="17" t="s">
        <v>69</v>
      </c>
      <c r="E419" s="17" t="s">
        <v>18</v>
      </c>
      <c r="F419" s="17"/>
      <c r="G419" s="186"/>
      <c r="H419" s="215"/>
      <c r="I419" s="214"/>
      <c r="J419" s="214"/>
    </row>
    <row r="420" spans="1:10" s="21" customFormat="1" ht="12.75" hidden="1">
      <c r="A420" s="16" t="s">
        <v>21</v>
      </c>
      <c r="B420" s="17" t="s">
        <v>207</v>
      </c>
      <c r="C420" s="17" t="s">
        <v>83</v>
      </c>
      <c r="D420" s="17" t="s">
        <v>69</v>
      </c>
      <c r="E420" s="17" t="s">
        <v>19</v>
      </c>
      <c r="F420" s="17"/>
      <c r="G420" s="186"/>
      <c r="H420" s="215"/>
      <c r="I420" s="214"/>
      <c r="J420" s="214"/>
    </row>
    <row r="421" spans="1:10" s="21" customFormat="1" ht="25.5" hidden="1">
      <c r="A421" s="11" t="s">
        <v>20</v>
      </c>
      <c r="B421" s="4"/>
      <c r="C421" s="4"/>
      <c r="D421" s="4"/>
      <c r="E421" s="4"/>
      <c r="F421" s="4" t="s">
        <v>183</v>
      </c>
      <c r="G421" s="200"/>
      <c r="H421" s="215"/>
      <c r="I421" s="214"/>
      <c r="J421" s="214"/>
    </row>
    <row r="422" spans="1:10" s="21" customFormat="1" ht="38.25" hidden="1">
      <c r="A422" s="8" t="s">
        <v>22</v>
      </c>
      <c r="B422" s="4"/>
      <c r="C422" s="4"/>
      <c r="D422" s="4"/>
      <c r="E422" s="4"/>
      <c r="F422" s="4" t="s">
        <v>185</v>
      </c>
      <c r="G422" s="200"/>
      <c r="H422" s="215"/>
      <c r="I422" s="214"/>
      <c r="J422" s="214"/>
    </row>
    <row r="423" spans="1:10" s="21" customFormat="1" ht="12.75" hidden="1">
      <c r="A423" s="16" t="s">
        <v>23</v>
      </c>
      <c r="B423" s="17" t="s">
        <v>207</v>
      </c>
      <c r="C423" s="17" t="s">
        <v>83</v>
      </c>
      <c r="D423" s="17" t="s">
        <v>69</v>
      </c>
      <c r="E423" s="17" t="s">
        <v>24</v>
      </c>
      <c r="F423" s="17"/>
      <c r="G423" s="186"/>
      <c r="H423" s="215"/>
      <c r="I423" s="214"/>
      <c r="J423" s="214"/>
    </row>
    <row r="424" spans="1:10" s="21" customFormat="1" ht="25.5" hidden="1">
      <c r="A424" s="7" t="s">
        <v>25</v>
      </c>
      <c r="B424" s="4"/>
      <c r="C424" s="4"/>
      <c r="D424" s="4"/>
      <c r="E424" s="4"/>
      <c r="F424" s="4" t="s">
        <v>186</v>
      </c>
      <c r="G424" s="200"/>
      <c r="H424" s="215"/>
      <c r="I424" s="214"/>
      <c r="J424" s="214"/>
    </row>
    <row r="425" spans="1:10" s="21" customFormat="1" ht="25.5" hidden="1">
      <c r="A425" s="7" t="s">
        <v>26</v>
      </c>
      <c r="B425" s="4"/>
      <c r="C425" s="4"/>
      <c r="D425" s="4"/>
      <c r="E425" s="4"/>
      <c r="F425" s="4" t="s">
        <v>187</v>
      </c>
      <c r="G425" s="200">
        <v>403.2</v>
      </c>
      <c r="H425" s="215"/>
      <c r="I425" s="214"/>
      <c r="J425" s="214"/>
    </row>
    <row r="426" spans="1:10" s="21" customFormat="1" ht="9" customHeight="1" hidden="1">
      <c r="A426" s="7" t="s">
        <v>27</v>
      </c>
      <c r="B426" s="4"/>
      <c r="C426" s="4"/>
      <c r="D426" s="4"/>
      <c r="E426" s="4"/>
      <c r="F426" s="4" t="s">
        <v>188</v>
      </c>
      <c r="G426" s="200"/>
      <c r="H426" s="215"/>
      <c r="I426" s="214"/>
      <c r="J426" s="214"/>
    </row>
    <row r="427" spans="1:10" s="21" customFormat="1" ht="13.5" customHeight="1" hidden="1">
      <c r="A427" s="16" t="s">
        <v>28</v>
      </c>
      <c r="B427" s="17" t="s">
        <v>207</v>
      </c>
      <c r="C427" s="17" t="s">
        <v>83</v>
      </c>
      <c r="D427" s="17" t="s">
        <v>69</v>
      </c>
      <c r="E427" s="17" t="s">
        <v>29</v>
      </c>
      <c r="F427" s="17"/>
      <c r="G427" s="186"/>
      <c r="H427" s="215"/>
      <c r="I427" s="214"/>
      <c r="J427" s="214"/>
    </row>
    <row r="428" spans="1:10" s="21" customFormat="1" ht="12.75" hidden="1">
      <c r="A428" s="16" t="s">
        <v>30</v>
      </c>
      <c r="B428" s="17" t="s">
        <v>207</v>
      </c>
      <c r="C428" s="17" t="s">
        <v>83</v>
      </c>
      <c r="D428" s="17" t="s">
        <v>69</v>
      </c>
      <c r="E428" s="17" t="s">
        <v>31</v>
      </c>
      <c r="F428" s="17"/>
      <c r="G428" s="186"/>
      <c r="H428" s="215"/>
      <c r="I428" s="214"/>
      <c r="J428" s="214"/>
    </row>
    <row r="429" spans="1:10" s="21" customFormat="1" ht="12.75" hidden="1">
      <c r="A429" s="7" t="s">
        <v>32</v>
      </c>
      <c r="B429" s="17"/>
      <c r="C429" s="17"/>
      <c r="D429" s="17"/>
      <c r="E429" s="17"/>
      <c r="F429" s="17" t="s">
        <v>189</v>
      </c>
      <c r="G429" s="186"/>
      <c r="H429" s="215"/>
      <c r="I429" s="214"/>
      <c r="J429" s="214"/>
    </row>
    <row r="430" spans="1:10" s="21" customFormat="1" ht="12.75" hidden="1">
      <c r="A430" s="7" t="s">
        <v>33</v>
      </c>
      <c r="B430" s="17"/>
      <c r="C430" s="17"/>
      <c r="D430" s="17"/>
      <c r="E430" s="17"/>
      <c r="F430" s="17" t="s">
        <v>191</v>
      </c>
      <c r="G430" s="186"/>
      <c r="H430" s="215"/>
      <c r="I430" s="214"/>
      <c r="J430" s="214"/>
    </row>
    <row r="431" spans="1:10" s="21" customFormat="1" ht="25.5" hidden="1">
      <c r="A431" s="7" t="s">
        <v>34</v>
      </c>
      <c r="B431" s="17"/>
      <c r="C431" s="17"/>
      <c r="D431" s="17"/>
      <c r="E431" s="17"/>
      <c r="F431" s="17" t="s">
        <v>221</v>
      </c>
      <c r="G431" s="186"/>
      <c r="H431" s="215"/>
      <c r="I431" s="214"/>
      <c r="J431" s="214"/>
    </row>
    <row r="432" spans="1:10" s="21" customFormat="1" ht="25.5" hidden="1">
      <c r="A432" s="7" t="s">
        <v>35</v>
      </c>
      <c r="B432" s="17"/>
      <c r="C432" s="17"/>
      <c r="D432" s="17"/>
      <c r="E432" s="17"/>
      <c r="F432" s="17" t="s">
        <v>190</v>
      </c>
      <c r="G432" s="186"/>
      <c r="H432" s="215"/>
      <c r="I432" s="214"/>
      <c r="J432" s="214"/>
    </row>
    <row r="433" spans="1:10" s="21" customFormat="1" ht="51" hidden="1">
      <c r="A433" s="7" t="s">
        <v>36</v>
      </c>
      <c r="B433" s="17"/>
      <c r="C433" s="17"/>
      <c r="D433" s="17"/>
      <c r="E433" s="17"/>
      <c r="F433" s="17" t="s">
        <v>190</v>
      </c>
      <c r="G433" s="186"/>
      <c r="H433" s="215"/>
      <c r="I433" s="214"/>
      <c r="J433" s="214"/>
    </row>
    <row r="434" spans="1:10" s="21" customFormat="1" ht="12.75" hidden="1">
      <c r="A434" s="16" t="s">
        <v>37</v>
      </c>
      <c r="B434" s="17" t="s">
        <v>207</v>
      </c>
      <c r="C434" s="17" t="s">
        <v>83</v>
      </c>
      <c r="D434" s="17" t="s">
        <v>69</v>
      </c>
      <c r="E434" s="17" t="s">
        <v>38</v>
      </c>
      <c r="F434" s="17"/>
      <c r="G434" s="186">
        <f>SUM(G435:G437)</f>
        <v>247.4</v>
      </c>
      <c r="H434" s="215"/>
      <c r="I434" s="214"/>
      <c r="J434" s="214"/>
    </row>
    <row r="435" spans="1:10" s="21" customFormat="1" ht="36" customHeight="1" hidden="1">
      <c r="A435" s="11" t="s">
        <v>39</v>
      </c>
      <c r="B435" s="20"/>
      <c r="C435" s="20"/>
      <c r="D435" s="20"/>
      <c r="E435" s="20"/>
      <c r="F435" s="20" t="s">
        <v>183</v>
      </c>
      <c r="G435" s="214">
        <v>27.1</v>
      </c>
      <c r="H435" s="215"/>
      <c r="I435" s="214"/>
      <c r="J435" s="214"/>
    </row>
    <row r="436" spans="1:10" s="21" customFormat="1" ht="38.25" hidden="1">
      <c r="A436" s="19" t="s">
        <v>40</v>
      </c>
      <c r="B436" s="20"/>
      <c r="C436" s="20"/>
      <c r="D436" s="20"/>
      <c r="E436" s="20"/>
      <c r="F436" s="20" t="s">
        <v>222</v>
      </c>
      <c r="G436" s="214"/>
      <c r="H436" s="215"/>
      <c r="I436" s="214"/>
      <c r="J436" s="214"/>
    </row>
    <row r="437" spans="1:10" s="21" customFormat="1" ht="26.25" customHeight="1" hidden="1">
      <c r="A437" s="12" t="s">
        <v>41</v>
      </c>
      <c r="B437" s="20"/>
      <c r="C437" s="20"/>
      <c r="D437" s="20"/>
      <c r="E437" s="20"/>
      <c r="F437" s="20" t="s">
        <v>192</v>
      </c>
      <c r="G437" s="214">
        <v>220.3</v>
      </c>
      <c r="H437" s="215"/>
      <c r="I437" s="214"/>
      <c r="J437" s="214"/>
    </row>
    <row r="438" spans="1:10" s="45" customFormat="1" ht="12.75" hidden="1">
      <c r="A438" s="43" t="s">
        <v>42</v>
      </c>
      <c r="B438" s="44" t="s">
        <v>207</v>
      </c>
      <c r="C438" s="44" t="s">
        <v>83</v>
      </c>
      <c r="D438" s="44" t="s">
        <v>69</v>
      </c>
      <c r="E438" s="44" t="s">
        <v>43</v>
      </c>
      <c r="F438" s="44"/>
      <c r="G438" s="197">
        <f>SUM(G439)</f>
        <v>176.8</v>
      </c>
      <c r="H438" s="198"/>
      <c r="I438" s="197"/>
      <c r="J438" s="197"/>
    </row>
    <row r="439" spans="1:10" s="21" customFormat="1" ht="12.75" hidden="1">
      <c r="A439" s="16" t="s">
        <v>44</v>
      </c>
      <c r="B439" s="17" t="s">
        <v>207</v>
      </c>
      <c r="C439" s="17" t="s">
        <v>83</v>
      </c>
      <c r="D439" s="17" t="s">
        <v>69</v>
      </c>
      <c r="E439" s="17" t="s">
        <v>45</v>
      </c>
      <c r="F439" s="17"/>
      <c r="G439" s="186">
        <f>SUM(G440)</f>
        <v>176.8</v>
      </c>
      <c r="H439" s="215"/>
      <c r="I439" s="214"/>
      <c r="J439" s="214"/>
    </row>
    <row r="440" spans="1:10" s="21" customFormat="1" ht="12.75" hidden="1">
      <c r="A440" s="6" t="s">
        <v>46</v>
      </c>
      <c r="B440" s="20"/>
      <c r="C440" s="20"/>
      <c r="D440" s="20"/>
      <c r="E440" s="20"/>
      <c r="F440" s="20"/>
      <c r="G440" s="214">
        <f>SUM(G441:G441)</f>
        <v>176.8</v>
      </c>
      <c r="H440" s="215"/>
      <c r="I440" s="214"/>
      <c r="J440" s="214"/>
    </row>
    <row r="441" spans="1:10" s="21" customFormat="1" ht="12.75" hidden="1">
      <c r="A441" s="64" t="s">
        <v>129</v>
      </c>
      <c r="B441" s="20"/>
      <c r="C441" s="20"/>
      <c r="D441" s="20"/>
      <c r="E441" s="20"/>
      <c r="F441" s="20" t="s">
        <v>209</v>
      </c>
      <c r="G441" s="214">
        <v>176.8</v>
      </c>
      <c r="H441" s="215"/>
      <c r="I441" s="214"/>
      <c r="J441" s="214"/>
    </row>
    <row r="442" spans="1:10" s="45" customFormat="1" ht="12.75" hidden="1">
      <c r="A442" s="43" t="s">
        <v>47</v>
      </c>
      <c r="B442" s="44" t="s">
        <v>207</v>
      </c>
      <c r="C442" s="44" t="s">
        <v>83</v>
      </c>
      <c r="D442" s="44" t="s">
        <v>69</v>
      </c>
      <c r="E442" s="44" t="s">
        <v>48</v>
      </c>
      <c r="F442" s="44"/>
      <c r="G442" s="197">
        <f>SUM(G443)</f>
        <v>123.3</v>
      </c>
      <c r="H442" s="198"/>
      <c r="I442" s="197"/>
      <c r="J442" s="197"/>
    </row>
    <row r="443" spans="1:10" s="21" customFormat="1" ht="25.5" customHeight="1" hidden="1">
      <c r="A443" s="12" t="s">
        <v>41</v>
      </c>
      <c r="B443" s="20"/>
      <c r="C443" s="20"/>
      <c r="D443" s="20"/>
      <c r="E443" s="20"/>
      <c r="F443" s="20"/>
      <c r="G443" s="214">
        <f>96.8+26.5</f>
        <v>123.3</v>
      </c>
      <c r="H443" s="215"/>
      <c r="I443" s="214"/>
      <c r="J443" s="214"/>
    </row>
    <row r="444" spans="1:10" s="45" customFormat="1" ht="12.75" hidden="1">
      <c r="A444" s="43" t="s">
        <v>49</v>
      </c>
      <c r="B444" s="44" t="s">
        <v>207</v>
      </c>
      <c r="C444" s="44" t="s">
        <v>83</v>
      </c>
      <c r="D444" s="44" t="s">
        <v>69</v>
      </c>
      <c r="E444" s="44" t="s">
        <v>50</v>
      </c>
      <c r="F444" s="44"/>
      <c r="G444" s="197">
        <f>SUM(G445,G449)</f>
        <v>79</v>
      </c>
      <c r="H444" s="198"/>
      <c r="I444" s="197"/>
      <c r="J444" s="197"/>
    </row>
    <row r="445" spans="1:10" s="21" customFormat="1" ht="12.75" hidden="1">
      <c r="A445" s="16" t="s">
        <v>51</v>
      </c>
      <c r="B445" s="17" t="s">
        <v>207</v>
      </c>
      <c r="C445" s="17" t="s">
        <v>83</v>
      </c>
      <c r="D445" s="17" t="s">
        <v>69</v>
      </c>
      <c r="E445" s="17" t="s">
        <v>52</v>
      </c>
      <c r="F445" s="17"/>
      <c r="G445" s="186">
        <f>SUM(G446:G448)</f>
        <v>0</v>
      </c>
      <c r="H445" s="215"/>
      <c r="I445" s="214"/>
      <c r="J445" s="214"/>
    </row>
    <row r="446" spans="1:10" s="21" customFormat="1" ht="12.75" hidden="1">
      <c r="A446" s="7" t="s">
        <v>53</v>
      </c>
      <c r="B446" s="20"/>
      <c r="C446" s="20"/>
      <c r="D446" s="20"/>
      <c r="E446" s="20"/>
      <c r="F446" s="20" t="s">
        <v>223</v>
      </c>
      <c r="G446" s="214"/>
      <c r="H446" s="215"/>
      <c r="I446" s="214"/>
      <c r="J446" s="214"/>
    </row>
    <row r="447" spans="1:10" s="21" customFormat="1" ht="51" hidden="1">
      <c r="A447" s="7" t="s">
        <v>54</v>
      </c>
      <c r="B447" s="20"/>
      <c r="C447" s="20"/>
      <c r="D447" s="20"/>
      <c r="E447" s="20"/>
      <c r="F447" s="20" t="s">
        <v>194</v>
      </c>
      <c r="G447" s="214"/>
      <c r="H447" s="215"/>
      <c r="I447" s="214"/>
      <c r="J447" s="214"/>
    </row>
    <row r="448" spans="1:10" s="21" customFormat="1" ht="50.25" customHeight="1" hidden="1">
      <c r="A448" s="7" t="s">
        <v>55</v>
      </c>
      <c r="B448" s="20"/>
      <c r="C448" s="20"/>
      <c r="D448" s="20"/>
      <c r="E448" s="20"/>
      <c r="F448" s="20" t="s">
        <v>193</v>
      </c>
      <c r="G448" s="214"/>
      <c r="H448" s="215"/>
      <c r="I448" s="214"/>
      <c r="J448" s="214"/>
    </row>
    <row r="449" spans="1:10" s="21" customFormat="1" ht="16.5" customHeight="1" hidden="1">
      <c r="A449" s="16" t="s">
        <v>56</v>
      </c>
      <c r="B449" s="17" t="s">
        <v>207</v>
      </c>
      <c r="C449" s="17" t="s">
        <v>83</v>
      </c>
      <c r="D449" s="17" t="s">
        <v>69</v>
      </c>
      <c r="E449" s="17" t="s">
        <v>57</v>
      </c>
      <c r="F449" s="17"/>
      <c r="G449" s="186">
        <f>SUM(G450:G453)</f>
        <v>79</v>
      </c>
      <c r="H449" s="215"/>
      <c r="I449" s="214"/>
      <c r="J449" s="214"/>
    </row>
    <row r="450" spans="1:10" s="21" customFormat="1" ht="25.5" hidden="1">
      <c r="A450" s="7" t="s">
        <v>58</v>
      </c>
      <c r="B450" s="20"/>
      <c r="C450" s="20"/>
      <c r="D450" s="20"/>
      <c r="E450" s="20"/>
      <c r="F450" s="20" t="s">
        <v>195</v>
      </c>
      <c r="G450" s="214">
        <v>28.8</v>
      </c>
      <c r="H450" s="215"/>
      <c r="I450" s="214"/>
      <c r="J450" s="214"/>
    </row>
    <row r="451" spans="1:10" s="21" customFormat="1" ht="10.5" customHeight="1" hidden="1">
      <c r="A451" s="7" t="s">
        <v>59</v>
      </c>
      <c r="B451" s="20"/>
      <c r="C451" s="20"/>
      <c r="D451" s="20"/>
      <c r="E451" s="20"/>
      <c r="F451" s="20" t="s">
        <v>196</v>
      </c>
      <c r="G451" s="214"/>
      <c r="H451" s="215"/>
      <c r="I451" s="214"/>
      <c r="J451" s="214"/>
    </row>
    <row r="452" spans="1:10" s="21" customFormat="1" ht="12.75" hidden="1">
      <c r="A452" s="7" t="s">
        <v>60</v>
      </c>
      <c r="B452" s="20"/>
      <c r="C452" s="20"/>
      <c r="D452" s="20"/>
      <c r="E452" s="20"/>
      <c r="F452" s="20" t="s">
        <v>197</v>
      </c>
      <c r="G452" s="214">
        <v>39.2</v>
      </c>
      <c r="H452" s="215"/>
      <c r="I452" s="214"/>
      <c r="J452" s="214"/>
    </row>
    <row r="453" spans="1:10" s="21" customFormat="1" ht="38.25" hidden="1">
      <c r="A453" s="7" t="s">
        <v>61</v>
      </c>
      <c r="B453" s="20"/>
      <c r="C453" s="20"/>
      <c r="D453" s="20"/>
      <c r="E453" s="20"/>
      <c r="F453" s="20" t="s">
        <v>198</v>
      </c>
      <c r="G453" s="214">
        <v>11</v>
      </c>
      <c r="H453" s="215"/>
      <c r="I453" s="214"/>
      <c r="J453" s="214"/>
    </row>
    <row r="454" spans="1:10" s="21" customFormat="1" ht="12.75" hidden="1">
      <c r="A454" s="23" t="s">
        <v>71</v>
      </c>
      <c r="B454" s="24" t="s">
        <v>158</v>
      </c>
      <c r="C454" s="24" t="s">
        <v>141</v>
      </c>
      <c r="D454" s="24" t="s">
        <v>69</v>
      </c>
      <c r="E454" s="24"/>
      <c r="F454" s="24"/>
      <c r="G454" s="218"/>
      <c r="H454" s="215"/>
      <c r="I454" s="214"/>
      <c r="J454" s="214"/>
    </row>
    <row r="455" spans="1:10" s="45" customFormat="1" ht="12.75" customHeight="1" hidden="1">
      <c r="A455" s="43" t="s">
        <v>4</v>
      </c>
      <c r="B455" s="44" t="s">
        <v>158</v>
      </c>
      <c r="C455" s="44" t="s">
        <v>141</v>
      </c>
      <c r="D455" s="44" t="s">
        <v>69</v>
      </c>
      <c r="E455" s="44" t="s">
        <v>5</v>
      </c>
      <c r="F455" s="44"/>
      <c r="G455" s="197"/>
      <c r="H455" s="198"/>
      <c r="I455" s="197"/>
      <c r="J455" s="197"/>
    </row>
    <row r="456" spans="1:10" s="21" customFormat="1" ht="12.75" hidden="1">
      <c r="A456" s="16" t="s">
        <v>6</v>
      </c>
      <c r="B456" s="17" t="s">
        <v>207</v>
      </c>
      <c r="C456" s="17" t="s">
        <v>141</v>
      </c>
      <c r="D456" s="17" t="s">
        <v>69</v>
      </c>
      <c r="E456" s="17" t="s">
        <v>7</v>
      </c>
      <c r="F456" s="17"/>
      <c r="G456" s="186"/>
      <c r="H456" s="215"/>
      <c r="I456" s="214"/>
      <c r="J456" s="214"/>
    </row>
    <row r="457" spans="1:10" s="21" customFormat="1" ht="12.75" hidden="1">
      <c r="A457" s="16" t="s">
        <v>8</v>
      </c>
      <c r="B457" s="17" t="s">
        <v>207</v>
      </c>
      <c r="C457" s="17" t="s">
        <v>141</v>
      </c>
      <c r="D457" s="17" t="s">
        <v>69</v>
      </c>
      <c r="E457" s="17" t="s">
        <v>9</v>
      </c>
      <c r="F457" s="17"/>
      <c r="G457" s="186"/>
      <c r="H457" s="215"/>
      <c r="I457" s="214"/>
      <c r="J457" s="214"/>
    </row>
    <row r="458" spans="1:10" s="21" customFormat="1" ht="25.5" hidden="1">
      <c r="A458" s="11" t="s">
        <v>10</v>
      </c>
      <c r="B458" s="4"/>
      <c r="C458" s="4"/>
      <c r="D458" s="4"/>
      <c r="E458" s="4"/>
      <c r="F458" s="4" t="s">
        <v>183</v>
      </c>
      <c r="G458" s="200"/>
      <c r="H458" s="215"/>
      <c r="I458" s="214"/>
      <c r="J458" s="214"/>
    </row>
    <row r="459" spans="1:10" s="21" customFormat="1" ht="15.75" customHeight="1" hidden="1">
      <c r="A459" s="12" t="s">
        <v>11</v>
      </c>
      <c r="B459" s="4"/>
      <c r="C459" s="4"/>
      <c r="D459" s="4"/>
      <c r="E459" s="4"/>
      <c r="F459" s="4" t="s">
        <v>200</v>
      </c>
      <c r="G459" s="200"/>
      <c r="H459" s="215"/>
      <c r="I459" s="214"/>
      <c r="J459" s="214"/>
    </row>
    <row r="460" spans="1:10" s="30" customFormat="1" ht="12.75" hidden="1">
      <c r="A460" s="65" t="s">
        <v>130</v>
      </c>
      <c r="B460" s="29"/>
      <c r="C460" s="29"/>
      <c r="D460" s="29"/>
      <c r="E460" s="29"/>
      <c r="F460" s="29" t="s">
        <v>199</v>
      </c>
      <c r="G460" s="212"/>
      <c r="H460" s="205"/>
      <c r="I460" s="212"/>
      <c r="J460" s="212"/>
    </row>
    <row r="461" spans="1:10" s="21" customFormat="1" ht="25.5" hidden="1">
      <c r="A461" s="6" t="s">
        <v>12</v>
      </c>
      <c r="B461" s="4"/>
      <c r="C461" s="4"/>
      <c r="D461" s="4"/>
      <c r="E461" s="4"/>
      <c r="F461" s="4" t="s">
        <v>184</v>
      </c>
      <c r="G461" s="200"/>
      <c r="H461" s="215"/>
      <c r="I461" s="214"/>
      <c r="J461" s="214"/>
    </row>
    <row r="462" spans="1:10" s="21" customFormat="1" ht="12.75" hidden="1">
      <c r="A462" s="16" t="s">
        <v>13</v>
      </c>
      <c r="B462" s="17" t="s">
        <v>207</v>
      </c>
      <c r="C462" s="17" t="s">
        <v>141</v>
      </c>
      <c r="D462" s="17" t="s">
        <v>69</v>
      </c>
      <c r="E462" s="17" t="s">
        <v>14</v>
      </c>
      <c r="F462" s="17"/>
      <c r="G462" s="186"/>
      <c r="H462" s="215"/>
      <c r="I462" s="214"/>
      <c r="J462" s="214"/>
    </row>
    <row r="463" spans="1:10" s="45" customFormat="1" ht="12.75" hidden="1">
      <c r="A463" s="43" t="s">
        <v>15</v>
      </c>
      <c r="B463" s="44" t="s">
        <v>207</v>
      </c>
      <c r="C463" s="44" t="s">
        <v>141</v>
      </c>
      <c r="D463" s="44" t="s">
        <v>69</v>
      </c>
      <c r="E463" s="44" t="s">
        <v>16</v>
      </c>
      <c r="F463" s="44"/>
      <c r="G463" s="197"/>
      <c r="H463" s="198"/>
      <c r="I463" s="197"/>
      <c r="J463" s="197"/>
    </row>
    <row r="464" spans="1:10" s="21" customFormat="1" ht="12.75" hidden="1">
      <c r="A464" s="16" t="s">
        <v>17</v>
      </c>
      <c r="B464" s="17" t="s">
        <v>207</v>
      </c>
      <c r="C464" s="17" t="s">
        <v>141</v>
      </c>
      <c r="D464" s="17" t="s">
        <v>69</v>
      </c>
      <c r="E464" s="17" t="s">
        <v>18</v>
      </c>
      <c r="F464" s="17"/>
      <c r="G464" s="186"/>
      <c r="H464" s="215"/>
      <c r="I464" s="214"/>
      <c r="J464" s="214"/>
    </row>
    <row r="465" spans="1:10" s="21" customFormat="1" ht="12.75" hidden="1">
      <c r="A465" s="16" t="s">
        <v>21</v>
      </c>
      <c r="B465" s="17" t="s">
        <v>207</v>
      </c>
      <c r="C465" s="17" t="s">
        <v>141</v>
      </c>
      <c r="D465" s="17" t="s">
        <v>69</v>
      </c>
      <c r="E465" s="17" t="s">
        <v>19</v>
      </c>
      <c r="F465" s="17"/>
      <c r="G465" s="186"/>
      <c r="H465" s="215"/>
      <c r="I465" s="214"/>
      <c r="J465" s="214"/>
    </row>
    <row r="466" spans="1:10" s="21" customFormat="1" ht="25.5" hidden="1">
      <c r="A466" s="11" t="s">
        <v>20</v>
      </c>
      <c r="B466" s="4"/>
      <c r="C466" s="4"/>
      <c r="D466" s="4"/>
      <c r="E466" s="4"/>
      <c r="F466" s="4" t="s">
        <v>183</v>
      </c>
      <c r="G466" s="200"/>
      <c r="H466" s="215"/>
      <c r="I466" s="214"/>
      <c r="J466" s="214"/>
    </row>
    <row r="467" spans="1:10" s="21" customFormat="1" ht="38.25" hidden="1">
      <c r="A467" s="8" t="s">
        <v>22</v>
      </c>
      <c r="B467" s="4"/>
      <c r="C467" s="4"/>
      <c r="D467" s="4"/>
      <c r="E467" s="4"/>
      <c r="F467" s="4" t="s">
        <v>185</v>
      </c>
      <c r="G467" s="200"/>
      <c r="H467" s="215"/>
      <c r="I467" s="214"/>
      <c r="J467" s="214"/>
    </row>
    <row r="468" spans="1:10" s="21" customFormat="1" ht="12.75" hidden="1">
      <c r="A468" s="16" t="s">
        <v>23</v>
      </c>
      <c r="B468" s="17" t="s">
        <v>207</v>
      </c>
      <c r="C468" s="17" t="s">
        <v>141</v>
      </c>
      <c r="D468" s="17" t="s">
        <v>69</v>
      </c>
      <c r="E468" s="17" t="s">
        <v>24</v>
      </c>
      <c r="F468" s="17"/>
      <c r="G468" s="186"/>
      <c r="H468" s="215"/>
      <c r="I468" s="214"/>
      <c r="J468" s="214"/>
    </row>
    <row r="469" spans="1:10" s="21" customFormat="1" ht="25.5" hidden="1">
      <c r="A469" s="7" t="s">
        <v>25</v>
      </c>
      <c r="B469" s="4"/>
      <c r="C469" s="4"/>
      <c r="D469" s="4"/>
      <c r="E469" s="4"/>
      <c r="F469" s="4" t="s">
        <v>186</v>
      </c>
      <c r="G469" s="200"/>
      <c r="H469" s="215"/>
      <c r="I469" s="214"/>
      <c r="J469" s="214"/>
    </row>
    <row r="470" spans="1:10" s="21" customFormat="1" ht="25.5" hidden="1">
      <c r="A470" s="7" t="s">
        <v>26</v>
      </c>
      <c r="B470" s="4"/>
      <c r="C470" s="4"/>
      <c r="D470" s="4"/>
      <c r="E470" s="4"/>
      <c r="F470" s="4" t="s">
        <v>187</v>
      </c>
      <c r="G470" s="200"/>
      <c r="H470" s="215"/>
      <c r="I470" s="214"/>
      <c r="J470" s="214"/>
    </row>
    <row r="471" spans="1:10" s="21" customFormat="1" ht="12.75" hidden="1">
      <c r="A471" s="7" t="s">
        <v>27</v>
      </c>
      <c r="B471" s="4"/>
      <c r="C471" s="4"/>
      <c r="D471" s="4"/>
      <c r="E471" s="4"/>
      <c r="F471" s="4" t="s">
        <v>188</v>
      </c>
      <c r="G471" s="200"/>
      <c r="H471" s="215"/>
      <c r="I471" s="214"/>
      <c r="J471" s="214"/>
    </row>
    <row r="472" spans="1:10" s="21" customFormat="1" ht="14.25" customHeight="1" hidden="1">
      <c r="A472" s="16" t="s">
        <v>28</v>
      </c>
      <c r="B472" s="17" t="s">
        <v>207</v>
      </c>
      <c r="C472" s="17" t="s">
        <v>141</v>
      </c>
      <c r="D472" s="17" t="s">
        <v>69</v>
      </c>
      <c r="E472" s="17" t="s">
        <v>29</v>
      </c>
      <c r="F472" s="17"/>
      <c r="G472" s="186"/>
      <c r="H472" s="215"/>
      <c r="I472" s="214"/>
      <c r="J472" s="214"/>
    </row>
    <row r="473" spans="1:10" s="21" customFormat="1" ht="12.75" hidden="1">
      <c r="A473" s="16" t="s">
        <v>30</v>
      </c>
      <c r="B473" s="17" t="s">
        <v>207</v>
      </c>
      <c r="C473" s="17" t="s">
        <v>141</v>
      </c>
      <c r="D473" s="17" t="s">
        <v>69</v>
      </c>
      <c r="E473" s="17" t="s">
        <v>31</v>
      </c>
      <c r="F473" s="17"/>
      <c r="G473" s="186"/>
      <c r="H473" s="215"/>
      <c r="I473" s="214"/>
      <c r="J473" s="214"/>
    </row>
    <row r="474" spans="1:10" s="21" customFormat="1" ht="12.75" hidden="1">
      <c r="A474" s="7" t="s">
        <v>32</v>
      </c>
      <c r="B474" s="17"/>
      <c r="C474" s="17"/>
      <c r="D474" s="17"/>
      <c r="E474" s="17"/>
      <c r="F474" s="17" t="s">
        <v>189</v>
      </c>
      <c r="G474" s="186"/>
      <c r="H474" s="215"/>
      <c r="I474" s="214"/>
      <c r="J474" s="214"/>
    </row>
    <row r="475" spans="1:10" s="21" customFormat="1" ht="12.75" hidden="1">
      <c r="A475" s="7" t="s">
        <v>33</v>
      </c>
      <c r="B475" s="17"/>
      <c r="C475" s="17"/>
      <c r="D475" s="17"/>
      <c r="E475" s="17"/>
      <c r="F475" s="17" t="s">
        <v>191</v>
      </c>
      <c r="G475" s="186"/>
      <c r="H475" s="215"/>
      <c r="I475" s="214"/>
      <c r="J475" s="214"/>
    </row>
    <row r="476" spans="1:10" s="21" customFormat="1" ht="25.5" hidden="1">
      <c r="A476" s="7" t="s">
        <v>34</v>
      </c>
      <c r="B476" s="17"/>
      <c r="C476" s="17"/>
      <c r="D476" s="17"/>
      <c r="E476" s="17"/>
      <c r="F476" s="17" t="s">
        <v>221</v>
      </c>
      <c r="G476" s="186"/>
      <c r="H476" s="215"/>
      <c r="I476" s="214"/>
      <c r="J476" s="214"/>
    </row>
    <row r="477" spans="1:10" s="21" customFormat="1" ht="25.5" hidden="1">
      <c r="A477" s="7" t="s">
        <v>35</v>
      </c>
      <c r="B477" s="17"/>
      <c r="C477" s="17"/>
      <c r="D477" s="17"/>
      <c r="E477" s="17"/>
      <c r="F477" s="17" t="s">
        <v>190</v>
      </c>
      <c r="G477" s="186"/>
      <c r="H477" s="215"/>
      <c r="I477" s="214"/>
      <c r="J477" s="214"/>
    </row>
    <row r="478" spans="1:10" s="21" customFormat="1" ht="51" hidden="1">
      <c r="A478" s="7" t="s">
        <v>36</v>
      </c>
      <c r="B478" s="17"/>
      <c r="C478" s="17"/>
      <c r="D478" s="17"/>
      <c r="E478" s="17"/>
      <c r="F478" s="17" t="s">
        <v>190</v>
      </c>
      <c r="G478" s="186"/>
      <c r="H478" s="215"/>
      <c r="I478" s="214"/>
      <c r="J478" s="214"/>
    </row>
    <row r="479" spans="1:10" s="21" customFormat="1" ht="12.75" hidden="1">
      <c r="A479" s="16" t="s">
        <v>37</v>
      </c>
      <c r="B479" s="17" t="s">
        <v>207</v>
      </c>
      <c r="C479" s="17" t="s">
        <v>141</v>
      </c>
      <c r="D479" s="17" t="s">
        <v>69</v>
      </c>
      <c r="E479" s="17" t="s">
        <v>38</v>
      </c>
      <c r="F479" s="17"/>
      <c r="G479" s="186"/>
      <c r="H479" s="215"/>
      <c r="I479" s="214"/>
      <c r="J479" s="214"/>
    </row>
    <row r="480" spans="1:10" s="21" customFormat="1" ht="38.25" hidden="1">
      <c r="A480" s="11" t="s">
        <v>39</v>
      </c>
      <c r="B480" s="20"/>
      <c r="C480" s="20"/>
      <c r="D480" s="20"/>
      <c r="E480" s="20"/>
      <c r="F480" s="20" t="s">
        <v>183</v>
      </c>
      <c r="G480" s="214"/>
      <c r="H480" s="215"/>
      <c r="I480" s="214"/>
      <c r="J480" s="214"/>
    </row>
    <row r="481" spans="1:10" s="21" customFormat="1" ht="38.25" hidden="1">
      <c r="A481" s="19" t="s">
        <v>40</v>
      </c>
      <c r="B481" s="20"/>
      <c r="C481" s="20"/>
      <c r="D481" s="20"/>
      <c r="E481" s="20"/>
      <c r="F481" s="20" t="s">
        <v>222</v>
      </c>
      <c r="G481" s="214"/>
      <c r="H481" s="215"/>
      <c r="I481" s="214"/>
      <c r="J481" s="214"/>
    </row>
    <row r="482" spans="1:10" s="21" customFormat="1" ht="24.75" customHeight="1" hidden="1">
      <c r="A482" s="12" t="s">
        <v>41</v>
      </c>
      <c r="B482" s="20"/>
      <c r="C482" s="20"/>
      <c r="D482" s="20"/>
      <c r="E482" s="20"/>
      <c r="F482" s="20" t="s">
        <v>192</v>
      </c>
      <c r="G482" s="214"/>
      <c r="H482" s="215"/>
      <c r="I482" s="214"/>
      <c r="J482" s="214"/>
    </row>
    <row r="483" spans="1:10" s="45" customFormat="1" ht="12.75" hidden="1">
      <c r="A483" s="43" t="s">
        <v>42</v>
      </c>
      <c r="B483" s="44" t="s">
        <v>207</v>
      </c>
      <c r="C483" s="44" t="s">
        <v>141</v>
      </c>
      <c r="D483" s="44" t="s">
        <v>69</v>
      </c>
      <c r="E483" s="44" t="s">
        <v>43</v>
      </c>
      <c r="F483" s="44"/>
      <c r="G483" s="197"/>
      <c r="H483" s="198"/>
      <c r="I483" s="197"/>
      <c r="J483" s="197"/>
    </row>
    <row r="484" spans="1:10" s="21" customFormat="1" ht="12.75" hidden="1">
      <c r="A484" s="16" t="s">
        <v>44</v>
      </c>
      <c r="B484" s="17" t="s">
        <v>207</v>
      </c>
      <c r="C484" s="17" t="s">
        <v>141</v>
      </c>
      <c r="D484" s="17" t="s">
        <v>69</v>
      </c>
      <c r="E484" s="17" t="s">
        <v>45</v>
      </c>
      <c r="F484" s="17"/>
      <c r="G484" s="186"/>
      <c r="H484" s="215"/>
      <c r="I484" s="214"/>
      <c r="J484" s="214"/>
    </row>
    <row r="485" spans="1:10" s="21" customFormat="1" ht="12.75" hidden="1">
      <c r="A485" s="6" t="s">
        <v>46</v>
      </c>
      <c r="B485" s="20"/>
      <c r="C485" s="20"/>
      <c r="D485" s="20"/>
      <c r="E485" s="20"/>
      <c r="F485" s="20"/>
      <c r="G485" s="214"/>
      <c r="H485" s="215"/>
      <c r="I485" s="214"/>
      <c r="J485" s="214"/>
    </row>
    <row r="486" spans="1:10" s="45" customFormat="1" ht="12.75" hidden="1">
      <c r="A486" s="43" t="s">
        <v>47</v>
      </c>
      <c r="B486" s="44" t="s">
        <v>207</v>
      </c>
      <c r="C486" s="44" t="s">
        <v>141</v>
      </c>
      <c r="D486" s="44" t="s">
        <v>69</v>
      </c>
      <c r="E486" s="44" t="s">
        <v>48</v>
      </c>
      <c r="F486" s="44"/>
      <c r="G486" s="197"/>
      <c r="H486" s="198"/>
      <c r="I486" s="197"/>
      <c r="J486" s="197"/>
    </row>
    <row r="487" spans="1:10" s="21" customFormat="1" ht="24" customHeight="1" hidden="1">
      <c r="A487" s="12" t="s">
        <v>41</v>
      </c>
      <c r="B487" s="20"/>
      <c r="C487" s="20"/>
      <c r="D487" s="20"/>
      <c r="E487" s="20"/>
      <c r="F487" s="20"/>
      <c r="G487" s="214"/>
      <c r="H487" s="215"/>
      <c r="I487" s="214"/>
      <c r="J487" s="214"/>
    </row>
    <row r="488" spans="1:10" s="45" customFormat="1" ht="12.75" hidden="1">
      <c r="A488" s="43" t="s">
        <v>49</v>
      </c>
      <c r="B488" s="44" t="s">
        <v>207</v>
      </c>
      <c r="C488" s="44" t="s">
        <v>141</v>
      </c>
      <c r="D488" s="44" t="s">
        <v>69</v>
      </c>
      <c r="E488" s="44" t="s">
        <v>50</v>
      </c>
      <c r="F488" s="44"/>
      <c r="G488" s="197"/>
      <c r="H488" s="198"/>
      <c r="I488" s="197"/>
      <c r="J488" s="197"/>
    </row>
    <row r="489" spans="1:10" s="21" customFormat="1" ht="12.75" hidden="1">
      <c r="A489" s="16" t="s">
        <v>51</v>
      </c>
      <c r="B489" s="17" t="s">
        <v>207</v>
      </c>
      <c r="C489" s="17" t="s">
        <v>141</v>
      </c>
      <c r="D489" s="17" t="s">
        <v>69</v>
      </c>
      <c r="E489" s="17" t="s">
        <v>52</v>
      </c>
      <c r="F489" s="17"/>
      <c r="G489" s="186"/>
      <c r="H489" s="215"/>
      <c r="I489" s="214"/>
      <c r="J489" s="214"/>
    </row>
    <row r="490" spans="1:10" s="21" customFormat="1" ht="12.75" hidden="1">
      <c r="A490" s="7" t="s">
        <v>53</v>
      </c>
      <c r="B490" s="20"/>
      <c r="C490" s="20"/>
      <c r="D490" s="20"/>
      <c r="E490" s="20"/>
      <c r="F490" s="20" t="s">
        <v>223</v>
      </c>
      <c r="G490" s="214"/>
      <c r="H490" s="215"/>
      <c r="I490" s="214"/>
      <c r="J490" s="214"/>
    </row>
    <row r="491" spans="1:10" s="21" customFormat="1" ht="51" hidden="1">
      <c r="A491" s="7" t="s">
        <v>54</v>
      </c>
      <c r="B491" s="20"/>
      <c r="C491" s="20"/>
      <c r="D491" s="20"/>
      <c r="E491" s="20"/>
      <c r="F491" s="20" t="s">
        <v>194</v>
      </c>
      <c r="G491" s="214"/>
      <c r="H491" s="215"/>
      <c r="I491" s="214"/>
      <c r="J491" s="214"/>
    </row>
    <row r="492" spans="1:10" s="21" customFormat="1" ht="50.25" customHeight="1" hidden="1">
      <c r="A492" s="7" t="s">
        <v>55</v>
      </c>
      <c r="B492" s="20"/>
      <c r="C492" s="20"/>
      <c r="D492" s="20"/>
      <c r="E492" s="20"/>
      <c r="F492" s="20" t="s">
        <v>193</v>
      </c>
      <c r="G492" s="214"/>
      <c r="H492" s="215"/>
      <c r="I492" s="214"/>
      <c r="J492" s="214"/>
    </row>
    <row r="493" spans="1:10" s="21" customFormat="1" ht="15" customHeight="1" hidden="1">
      <c r="A493" s="16" t="s">
        <v>56</v>
      </c>
      <c r="B493" s="17" t="s">
        <v>207</v>
      </c>
      <c r="C493" s="17" t="s">
        <v>141</v>
      </c>
      <c r="D493" s="17" t="s">
        <v>69</v>
      </c>
      <c r="E493" s="17" t="s">
        <v>57</v>
      </c>
      <c r="F493" s="17"/>
      <c r="G493" s="186"/>
      <c r="H493" s="215"/>
      <c r="I493" s="214"/>
      <c r="J493" s="214"/>
    </row>
    <row r="494" spans="1:10" s="21" customFormat="1" ht="25.5" hidden="1">
      <c r="A494" s="7" t="s">
        <v>58</v>
      </c>
      <c r="B494" s="20"/>
      <c r="C494" s="20"/>
      <c r="D494" s="20"/>
      <c r="E494" s="20"/>
      <c r="F494" s="20" t="s">
        <v>195</v>
      </c>
      <c r="G494" s="214"/>
      <c r="H494" s="215"/>
      <c r="I494" s="214"/>
      <c r="J494" s="214"/>
    </row>
    <row r="495" spans="1:10" s="21" customFormat="1" ht="12.75" hidden="1">
      <c r="A495" s="7" t="s">
        <v>59</v>
      </c>
      <c r="B495" s="20"/>
      <c r="C495" s="20"/>
      <c r="D495" s="20"/>
      <c r="E495" s="20"/>
      <c r="F495" s="20" t="s">
        <v>196</v>
      </c>
      <c r="G495" s="214"/>
      <c r="H495" s="215"/>
      <c r="I495" s="214"/>
      <c r="J495" s="214"/>
    </row>
    <row r="496" spans="1:10" s="21" customFormat="1" ht="12.75" hidden="1">
      <c r="A496" s="7" t="s">
        <v>60</v>
      </c>
      <c r="B496" s="20"/>
      <c r="C496" s="20"/>
      <c r="D496" s="20"/>
      <c r="E496" s="20"/>
      <c r="F496" s="20" t="s">
        <v>197</v>
      </c>
      <c r="G496" s="214"/>
      <c r="H496" s="215"/>
      <c r="I496" s="214"/>
      <c r="J496" s="214"/>
    </row>
    <row r="497" spans="1:10" s="21" customFormat="1" ht="38.25" hidden="1">
      <c r="A497" s="7" t="s">
        <v>61</v>
      </c>
      <c r="B497" s="20"/>
      <c r="C497" s="20"/>
      <c r="D497" s="20"/>
      <c r="E497" s="20"/>
      <c r="F497" s="20" t="s">
        <v>198</v>
      </c>
      <c r="G497" s="214"/>
      <c r="H497" s="215"/>
      <c r="I497" s="214"/>
      <c r="J497" s="214"/>
    </row>
    <row r="498" spans="1:10" s="21" customFormat="1" ht="25.5" hidden="1">
      <c r="A498" s="26" t="s">
        <v>72</v>
      </c>
      <c r="B498" s="24" t="s">
        <v>158</v>
      </c>
      <c r="C498" s="24" t="s">
        <v>140</v>
      </c>
      <c r="D498" s="24" t="s">
        <v>69</v>
      </c>
      <c r="E498" s="24"/>
      <c r="F498" s="24"/>
      <c r="G498" s="218">
        <f>SUM(G499,G507,G527,G530,G532)</f>
        <v>1394.9</v>
      </c>
      <c r="H498" s="215"/>
      <c r="I498" s="214"/>
      <c r="J498" s="214"/>
    </row>
    <row r="499" spans="1:10" s="45" customFormat="1" ht="15.75" customHeight="1" hidden="1">
      <c r="A499" s="43" t="s">
        <v>4</v>
      </c>
      <c r="B499" s="44" t="s">
        <v>158</v>
      </c>
      <c r="C499" s="44" t="s">
        <v>140</v>
      </c>
      <c r="D499" s="44" t="s">
        <v>69</v>
      </c>
      <c r="E499" s="44" t="s">
        <v>5</v>
      </c>
      <c r="F499" s="44"/>
      <c r="G499" s="197">
        <f>SUM(G500,G501,G506)</f>
        <v>1015.5</v>
      </c>
      <c r="H499" s="198"/>
      <c r="I499" s="197"/>
      <c r="J499" s="197"/>
    </row>
    <row r="500" spans="1:10" s="21" customFormat="1" ht="12.75" hidden="1">
      <c r="A500" s="16" t="s">
        <v>6</v>
      </c>
      <c r="B500" s="17" t="s">
        <v>158</v>
      </c>
      <c r="C500" s="17" t="s">
        <v>140</v>
      </c>
      <c r="D500" s="17" t="s">
        <v>69</v>
      </c>
      <c r="E500" s="17" t="s">
        <v>7</v>
      </c>
      <c r="F500" s="17"/>
      <c r="G500" s="186">
        <v>572</v>
      </c>
      <c r="H500" s="215"/>
      <c r="I500" s="214"/>
      <c r="J500" s="214"/>
    </row>
    <row r="501" spans="1:10" s="21" customFormat="1" ht="12.75" hidden="1">
      <c r="A501" s="16" t="s">
        <v>8</v>
      </c>
      <c r="B501" s="17" t="s">
        <v>158</v>
      </c>
      <c r="C501" s="17" t="s">
        <v>140</v>
      </c>
      <c r="D501" s="17" t="s">
        <v>69</v>
      </c>
      <c r="E501" s="17" t="s">
        <v>9</v>
      </c>
      <c r="F501" s="17"/>
      <c r="G501" s="186">
        <f>SUM(G502:G505)</f>
        <v>293.6</v>
      </c>
      <c r="H501" s="215"/>
      <c r="I501" s="214"/>
      <c r="J501" s="214"/>
    </row>
    <row r="502" spans="1:10" s="21" customFormat="1" ht="25.5" hidden="1">
      <c r="A502" s="11" t="s">
        <v>10</v>
      </c>
      <c r="B502" s="4"/>
      <c r="C502" s="4"/>
      <c r="D502" s="4"/>
      <c r="E502" s="4"/>
      <c r="F502" s="4" t="s">
        <v>183</v>
      </c>
      <c r="G502" s="200">
        <v>0.6</v>
      </c>
      <c r="H502" s="215"/>
      <c r="I502" s="214"/>
      <c r="J502" s="214"/>
    </row>
    <row r="503" spans="1:10" s="21" customFormat="1" ht="15.75" customHeight="1" hidden="1">
      <c r="A503" s="12" t="s">
        <v>11</v>
      </c>
      <c r="B503" s="4"/>
      <c r="C503" s="4"/>
      <c r="D503" s="4"/>
      <c r="E503" s="4"/>
      <c r="F503" s="4" t="s">
        <v>200</v>
      </c>
      <c r="G503" s="200">
        <v>15</v>
      </c>
      <c r="H503" s="215"/>
      <c r="I503" s="214"/>
      <c r="J503" s="214"/>
    </row>
    <row r="504" spans="1:10" s="30" customFormat="1" ht="10.5" customHeight="1" hidden="1">
      <c r="A504" s="65" t="s">
        <v>130</v>
      </c>
      <c r="B504" s="29"/>
      <c r="C504" s="29"/>
      <c r="D504" s="29"/>
      <c r="E504" s="29"/>
      <c r="F504" s="29" t="s">
        <v>199</v>
      </c>
      <c r="G504" s="212">
        <v>6</v>
      </c>
      <c r="H504" s="205"/>
      <c r="I504" s="212"/>
      <c r="J504" s="212"/>
    </row>
    <row r="505" spans="1:10" s="21" customFormat="1" ht="25.5" hidden="1">
      <c r="A505" s="6" t="s">
        <v>12</v>
      </c>
      <c r="B505" s="4"/>
      <c r="C505" s="4"/>
      <c r="D505" s="4"/>
      <c r="E505" s="4"/>
      <c r="F505" s="4" t="s">
        <v>184</v>
      </c>
      <c r="G505" s="200">
        <v>272</v>
      </c>
      <c r="H505" s="215"/>
      <c r="I505" s="214"/>
      <c r="J505" s="214"/>
    </row>
    <row r="506" spans="1:10" s="21" customFormat="1" ht="12.75" hidden="1">
      <c r="A506" s="16" t="s">
        <v>13</v>
      </c>
      <c r="B506" s="17" t="s">
        <v>158</v>
      </c>
      <c r="C506" s="17" t="s">
        <v>140</v>
      </c>
      <c r="D506" s="17" t="s">
        <v>69</v>
      </c>
      <c r="E506" s="17" t="s">
        <v>14</v>
      </c>
      <c r="F506" s="17"/>
      <c r="G506" s="186">
        <v>149.9</v>
      </c>
      <c r="H506" s="215"/>
      <c r="I506" s="214"/>
      <c r="J506" s="214"/>
    </row>
    <row r="507" spans="1:10" s="45" customFormat="1" ht="12.75" hidden="1">
      <c r="A507" s="43" t="s">
        <v>15</v>
      </c>
      <c r="B507" s="44" t="s">
        <v>158</v>
      </c>
      <c r="C507" s="44" t="s">
        <v>140</v>
      </c>
      <c r="D507" s="44" t="s">
        <v>69</v>
      </c>
      <c r="E507" s="44" t="s">
        <v>16</v>
      </c>
      <c r="F507" s="44"/>
      <c r="G507" s="197">
        <f>SUM(G508:G509,G512,G516,G517,G523,)</f>
        <v>266.90000000000003</v>
      </c>
      <c r="H507" s="198"/>
      <c r="I507" s="197"/>
      <c r="J507" s="197"/>
    </row>
    <row r="508" spans="1:10" s="21" customFormat="1" ht="12.75" hidden="1">
      <c r="A508" s="16" t="s">
        <v>17</v>
      </c>
      <c r="B508" s="17" t="s">
        <v>158</v>
      </c>
      <c r="C508" s="17" t="s">
        <v>140</v>
      </c>
      <c r="D508" s="17" t="s">
        <v>69</v>
      </c>
      <c r="E508" s="17" t="s">
        <v>18</v>
      </c>
      <c r="F508" s="17"/>
      <c r="G508" s="186">
        <v>8</v>
      </c>
      <c r="H508" s="215"/>
      <c r="I508" s="214"/>
      <c r="J508" s="214"/>
    </row>
    <row r="509" spans="1:10" s="21" customFormat="1" ht="12.75" hidden="1">
      <c r="A509" s="16" t="s">
        <v>21</v>
      </c>
      <c r="B509" s="17" t="s">
        <v>158</v>
      </c>
      <c r="C509" s="17" t="s">
        <v>140</v>
      </c>
      <c r="D509" s="17" t="s">
        <v>69</v>
      </c>
      <c r="E509" s="17" t="s">
        <v>19</v>
      </c>
      <c r="F509" s="17"/>
      <c r="G509" s="186">
        <f>SUM(G510:G511)</f>
        <v>10.1</v>
      </c>
      <c r="H509" s="215"/>
      <c r="I509" s="214"/>
      <c r="J509" s="214"/>
    </row>
    <row r="510" spans="1:10" s="21" customFormat="1" ht="25.5" hidden="1">
      <c r="A510" s="11" t="s">
        <v>20</v>
      </c>
      <c r="B510" s="4"/>
      <c r="C510" s="4"/>
      <c r="D510" s="4"/>
      <c r="E510" s="4"/>
      <c r="F510" s="4" t="s">
        <v>183</v>
      </c>
      <c r="G510" s="200">
        <v>10.1</v>
      </c>
      <c r="H510" s="215"/>
      <c r="I510" s="214"/>
      <c r="J510" s="214"/>
    </row>
    <row r="511" spans="1:10" s="21" customFormat="1" ht="38.25" hidden="1">
      <c r="A511" s="8" t="s">
        <v>22</v>
      </c>
      <c r="B511" s="4"/>
      <c r="C511" s="4"/>
      <c r="D511" s="4"/>
      <c r="E511" s="4"/>
      <c r="F511" s="4" t="s">
        <v>185</v>
      </c>
      <c r="G511" s="200"/>
      <c r="H511" s="215"/>
      <c r="I511" s="214"/>
      <c r="J511" s="214"/>
    </row>
    <row r="512" spans="1:10" s="21" customFormat="1" ht="12.75" hidden="1">
      <c r="A512" s="16" t="s">
        <v>23</v>
      </c>
      <c r="B512" s="17" t="s">
        <v>158</v>
      </c>
      <c r="C512" s="17" t="s">
        <v>140</v>
      </c>
      <c r="D512" s="17" t="s">
        <v>69</v>
      </c>
      <c r="E512" s="17" t="s">
        <v>24</v>
      </c>
      <c r="F512" s="17"/>
      <c r="G512" s="186">
        <f>SUM(G513:G515)</f>
        <v>112.80000000000001</v>
      </c>
      <c r="H512" s="215"/>
      <c r="I512" s="214"/>
      <c r="J512" s="214"/>
    </row>
    <row r="513" spans="1:10" s="21" customFormat="1" ht="25.5" hidden="1">
      <c r="A513" s="7" t="s">
        <v>25</v>
      </c>
      <c r="B513" s="4"/>
      <c r="C513" s="4"/>
      <c r="D513" s="4"/>
      <c r="E513" s="4"/>
      <c r="F513" s="4" t="s">
        <v>186</v>
      </c>
      <c r="G513" s="200">
        <v>86.7</v>
      </c>
      <c r="H513" s="215"/>
      <c r="I513" s="214"/>
      <c r="J513" s="214"/>
    </row>
    <row r="514" spans="1:10" s="21" customFormat="1" ht="25.5" hidden="1">
      <c r="A514" s="7" t="s">
        <v>26</v>
      </c>
      <c r="B514" s="4"/>
      <c r="C514" s="4"/>
      <c r="D514" s="4"/>
      <c r="E514" s="4"/>
      <c r="F514" s="4" t="s">
        <v>187</v>
      </c>
      <c r="G514" s="200">
        <v>17.7</v>
      </c>
      <c r="H514" s="215"/>
      <c r="I514" s="214"/>
      <c r="J514" s="214"/>
    </row>
    <row r="515" spans="1:10" s="21" customFormat="1" ht="12.75" hidden="1">
      <c r="A515" s="7" t="s">
        <v>27</v>
      </c>
      <c r="B515" s="4"/>
      <c r="C515" s="4"/>
      <c r="D515" s="4"/>
      <c r="E515" s="4"/>
      <c r="F515" s="4" t="s">
        <v>188</v>
      </c>
      <c r="G515" s="200">
        <v>8.4</v>
      </c>
      <c r="H515" s="215"/>
      <c r="I515" s="214"/>
      <c r="J515" s="214"/>
    </row>
    <row r="516" spans="1:10" s="21" customFormat="1" ht="9.75" customHeight="1" hidden="1">
      <c r="A516" s="16" t="s">
        <v>28</v>
      </c>
      <c r="B516" s="17" t="s">
        <v>158</v>
      </c>
      <c r="C516" s="17" t="s">
        <v>140</v>
      </c>
      <c r="D516" s="17" t="s">
        <v>69</v>
      </c>
      <c r="E516" s="17" t="s">
        <v>29</v>
      </c>
      <c r="F516" s="17"/>
      <c r="G516" s="186"/>
      <c r="H516" s="215"/>
      <c r="I516" s="214"/>
      <c r="J516" s="214"/>
    </row>
    <row r="517" spans="1:10" s="21" customFormat="1" ht="12.75" hidden="1">
      <c r="A517" s="16" t="s">
        <v>30</v>
      </c>
      <c r="B517" s="17" t="s">
        <v>158</v>
      </c>
      <c r="C517" s="17" t="s">
        <v>140</v>
      </c>
      <c r="D517" s="17" t="s">
        <v>69</v>
      </c>
      <c r="E517" s="17" t="s">
        <v>31</v>
      </c>
      <c r="F517" s="17"/>
      <c r="G517" s="186">
        <f>SUM(G518:G522)</f>
        <v>110.7</v>
      </c>
      <c r="H517" s="215"/>
      <c r="I517" s="214"/>
      <c r="J517" s="214"/>
    </row>
    <row r="518" spans="1:10" s="21" customFormat="1" ht="12.75" hidden="1">
      <c r="A518" s="7" t="s">
        <v>32</v>
      </c>
      <c r="B518" s="17"/>
      <c r="C518" s="17"/>
      <c r="D518" s="17"/>
      <c r="E518" s="17"/>
      <c r="F518" s="17" t="s">
        <v>189</v>
      </c>
      <c r="G518" s="186">
        <v>36.7</v>
      </c>
      <c r="H518" s="215"/>
      <c r="I518" s="214"/>
      <c r="J518" s="214"/>
    </row>
    <row r="519" spans="1:10" s="21" customFormat="1" ht="12.75" hidden="1">
      <c r="A519" s="7" t="s">
        <v>33</v>
      </c>
      <c r="B519" s="17"/>
      <c r="C519" s="17"/>
      <c r="D519" s="17"/>
      <c r="E519" s="17"/>
      <c r="F519" s="17" t="s">
        <v>191</v>
      </c>
      <c r="G519" s="186"/>
      <c r="H519" s="215"/>
      <c r="I519" s="214"/>
      <c r="J519" s="214"/>
    </row>
    <row r="520" spans="1:10" s="21" customFormat="1" ht="25.5" hidden="1">
      <c r="A520" s="7" t="s">
        <v>34</v>
      </c>
      <c r="B520" s="17"/>
      <c r="C520" s="17"/>
      <c r="D520" s="17"/>
      <c r="E520" s="17"/>
      <c r="F520" s="17" t="s">
        <v>221</v>
      </c>
      <c r="G520" s="186"/>
      <c r="H520" s="215"/>
      <c r="I520" s="214"/>
      <c r="J520" s="214"/>
    </row>
    <row r="521" spans="1:10" s="21" customFormat="1" ht="25.5" hidden="1">
      <c r="A521" s="7" t="s">
        <v>35</v>
      </c>
      <c r="B521" s="17"/>
      <c r="C521" s="17"/>
      <c r="D521" s="17"/>
      <c r="E521" s="17"/>
      <c r="F521" s="17" t="s">
        <v>190</v>
      </c>
      <c r="G521" s="186">
        <v>74</v>
      </c>
      <c r="H521" s="215"/>
      <c r="I521" s="214"/>
      <c r="J521" s="214"/>
    </row>
    <row r="522" spans="1:10" s="21" customFormat="1" ht="51" hidden="1">
      <c r="A522" s="7" t="s">
        <v>36</v>
      </c>
      <c r="B522" s="17"/>
      <c r="C522" s="17"/>
      <c r="D522" s="17"/>
      <c r="E522" s="17"/>
      <c r="F522" s="17" t="s">
        <v>190</v>
      </c>
      <c r="G522" s="186"/>
      <c r="H522" s="215"/>
      <c r="I522" s="214"/>
      <c r="J522" s="214"/>
    </row>
    <row r="523" spans="1:10" s="21" customFormat="1" ht="12.75" hidden="1">
      <c r="A523" s="16" t="s">
        <v>37</v>
      </c>
      <c r="B523" s="17" t="s">
        <v>158</v>
      </c>
      <c r="C523" s="17" t="s">
        <v>140</v>
      </c>
      <c r="D523" s="17" t="s">
        <v>69</v>
      </c>
      <c r="E523" s="17" t="s">
        <v>38</v>
      </c>
      <c r="F523" s="17"/>
      <c r="G523" s="186">
        <f>SUM(G524:G526)</f>
        <v>25.3</v>
      </c>
      <c r="H523" s="215"/>
      <c r="I523" s="214"/>
      <c r="J523" s="214"/>
    </row>
    <row r="524" spans="1:10" s="21" customFormat="1" ht="38.25" hidden="1">
      <c r="A524" s="11" t="s">
        <v>39</v>
      </c>
      <c r="B524" s="20"/>
      <c r="C524" s="20"/>
      <c r="D524" s="20"/>
      <c r="E524" s="20"/>
      <c r="F524" s="20" t="s">
        <v>183</v>
      </c>
      <c r="G524" s="214">
        <v>3.7</v>
      </c>
      <c r="H524" s="215"/>
      <c r="I524" s="214"/>
      <c r="J524" s="214"/>
    </row>
    <row r="525" spans="1:10" s="21" customFormat="1" ht="38.25" hidden="1">
      <c r="A525" s="19" t="s">
        <v>40</v>
      </c>
      <c r="B525" s="20"/>
      <c r="C525" s="20"/>
      <c r="D525" s="20"/>
      <c r="E525" s="20"/>
      <c r="F525" s="20" t="s">
        <v>222</v>
      </c>
      <c r="G525" s="214"/>
      <c r="H525" s="215"/>
      <c r="I525" s="214"/>
      <c r="J525" s="214"/>
    </row>
    <row r="526" spans="1:10" s="21" customFormat="1" ht="24.75" customHeight="1" hidden="1">
      <c r="A526" s="12" t="s">
        <v>41</v>
      </c>
      <c r="B526" s="20"/>
      <c r="C526" s="20"/>
      <c r="D526" s="20"/>
      <c r="E526" s="20"/>
      <c r="F526" s="20" t="s">
        <v>192</v>
      </c>
      <c r="G526" s="214">
        <v>21.6</v>
      </c>
      <c r="H526" s="215"/>
      <c r="I526" s="214"/>
      <c r="J526" s="214"/>
    </row>
    <row r="527" spans="1:10" s="45" customFormat="1" ht="12.75" hidden="1">
      <c r="A527" s="43" t="s">
        <v>42</v>
      </c>
      <c r="B527" s="44" t="s">
        <v>158</v>
      </c>
      <c r="C527" s="44" t="s">
        <v>140</v>
      </c>
      <c r="D527" s="44" t="s">
        <v>69</v>
      </c>
      <c r="E527" s="44" t="s">
        <v>43</v>
      </c>
      <c r="F527" s="44"/>
      <c r="G527" s="197">
        <f>SUM(G528)</f>
        <v>0</v>
      </c>
      <c r="H527" s="198"/>
      <c r="I527" s="197"/>
      <c r="J527" s="197"/>
    </row>
    <row r="528" spans="1:10" s="21" customFormat="1" ht="12.75" hidden="1">
      <c r="A528" s="16" t="s">
        <v>44</v>
      </c>
      <c r="B528" s="17" t="s">
        <v>158</v>
      </c>
      <c r="C528" s="17" t="s">
        <v>140</v>
      </c>
      <c r="D528" s="17" t="s">
        <v>69</v>
      </c>
      <c r="E528" s="17" t="s">
        <v>45</v>
      </c>
      <c r="F528" s="17"/>
      <c r="G528" s="186">
        <f>SUM(G529)</f>
        <v>0</v>
      </c>
      <c r="H528" s="215"/>
      <c r="I528" s="214"/>
      <c r="J528" s="214"/>
    </row>
    <row r="529" spans="1:10" s="21" customFormat="1" ht="12.75" hidden="1">
      <c r="A529" s="6" t="s">
        <v>46</v>
      </c>
      <c r="B529" s="20"/>
      <c r="C529" s="20"/>
      <c r="D529" s="20"/>
      <c r="E529" s="20"/>
      <c r="F529" s="20"/>
      <c r="G529" s="214"/>
      <c r="H529" s="215"/>
      <c r="I529" s="214"/>
      <c r="J529" s="214"/>
    </row>
    <row r="530" spans="1:10" s="45" customFormat="1" ht="12.75" hidden="1">
      <c r="A530" s="43" t="s">
        <v>47</v>
      </c>
      <c r="B530" s="44" t="s">
        <v>158</v>
      </c>
      <c r="C530" s="44" t="s">
        <v>140</v>
      </c>
      <c r="D530" s="44" t="s">
        <v>69</v>
      </c>
      <c r="E530" s="44" t="s">
        <v>48</v>
      </c>
      <c r="F530" s="44"/>
      <c r="G530" s="197">
        <f>SUM(G531)</f>
        <v>45</v>
      </c>
      <c r="H530" s="198"/>
      <c r="I530" s="197"/>
      <c r="J530" s="197"/>
    </row>
    <row r="531" spans="1:10" s="21" customFormat="1" ht="25.5" customHeight="1" hidden="1">
      <c r="A531" s="12" t="s">
        <v>41</v>
      </c>
      <c r="B531" s="20"/>
      <c r="C531" s="20"/>
      <c r="D531" s="20"/>
      <c r="E531" s="20"/>
      <c r="F531" s="20"/>
      <c r="G531" s="214">
        <v>45</v>
      </c>
      <c r="H531" s="215"/>
      <c r="I531" s="214"/>
      <c r="J531" s="214"/>
    </row>
    <row r="532" spans="1:10" s="45" customFormat="1" ht="12.75" hidden="1">
      <c r="A532" s="43" t="s">
        <v>49</v>
      </c>
      <c r="B532" s="44" t="s">
        <v>158</v>
      </c>
      <c r="C532" s="44" t="s">
        <v>140</v>
      </c>
      <c r="D532" s="44" t="s">
        <v>69</v>
      </c>
      <c r="E532" s="44" t="s">
        <v>50</v>
      </c>
      <c r="F532" s="44"/>
      <c r="G532" s="197">
        <f>SUM(G533,G537)</f>
        <v>67.5</v>
      </c>
      <c r="H532" s="198"/>
      <c r="I532" s="197"/>
      <c r="J532" s="197"/>
    </row>
    <row r="533" spans="1:10" s="21" customFormat="1" ht="12.75" hidden="1">
      <c r="A533" s="16" t="s">
        <v>51</v>
      </c>
      <c r="B533" s="17" t="s">
        <v>158</v>
      </c>
      <c r="C533" s="17" t="s">
        <v>140</v>
      </c>
      <c r="D533" s="17" t="s">
        <v>69</v>
      </c>
      <c r="E533" s="17" t="s">
        <v>52</v>
      </c>
      <c r="F533" s="17"/>
      <c r="G533" s="186">
        <f>SUM(G534:G536)</f>
        <v>35</v>
      </c>
      <c r="H533" s="215"/>
      <c r="I533" s="214"/>
      <c r="J533" s="214"/>
    </row>
    <row r="534" spans="1:10" s="21" customFormat="1" ht="12.75" hidden="1">
      <c r="A534" s="7" t="s">
        <v>53</v>
      </c>
      <c r="B534" s="20"/>
      <c r="C534" s="20"/>
      <c r="D534" s="20"/>
      <c r="E534" s="20"/>
      <c r="F534" s="20" t="s">
        <v>223</v>
      </c>
      <c r="G534" s="214">
        <v>10</v>
      </c>
      <c r="H534" s="215"/>
      <c r="I534" s="214"/>
      <c r="J534" s="214"/>
    </row>
    <row r="535" spans="1:10" s="21" customFormat="1" ht="51" hidden="1">
      <c r="A535" s="7" t="s">
        <v>54</v>
      </c>
      <c r="B535" s="20"/>
      <c r="C535" s="20"/>
      <c r="D535" s="20"/>
      <c r="E535" s="20"/>
      <c r="F535" s="20" t="s">
        <v>194</v>
      </c>
      <c r="G535" s="214">
        <v>25</v>
      </c>
      <c r="H535" s="215"/>
      <c r="I535" s="214"/>
      <c r="J535" s="214"/>
    </row>
    <row r="536" spans="1:10" s="21" customFormat="1" ht="48" customHeight="1" hidden="1">
      <c r="A536" s="7" t="s">
        <v>55</v>
      </c>
      <c r="B536" s="20"/>
      <c r="C536" s="20"/>
      <c r="D536" s="20"/>
      <c r="E536" s="20"/>
      <c r="F536" s="20" t="s">
        <v>193</v>
      </c>
      <c r="G536" s="214"/>
      <c r="H536" s="215"/>
      <c r="I536" s="214"/>
      <c r="J536" s="214"/>
    </row>
    <row r="537" spans="1:10" s="21" customFormat="1" ht="15" customHeight="1" hidden="1">
      <c r="A537" s="16" t="s">
        <v>56</v>
      </c>
      <c r="B537" s="17" t="s">
        <v>158</v>
      </c>
      <c r="C537" s="17" t="s">
        <v>140</v>
      </c>
      <c r="D537" s="17" t="s">
        <v>69</v>
      </c>
      <c r="E537" s="17" t="s">
        <v>57</v>
      </c>
      <c r="F537" s="17"/>
      <c r="G537" s="186">
        <f>SUM(G538:G541)</f>
        <v>32.5</v>
      </c>
      <c r="H537" s="215"/>
      <c r="I537" s="214"/>
      <c r="J537" s="214"/>
    </row>
    <row r="538" spans="1:10" s="21" customFormat="1" ht="25.5" hidden="1">
      <c r="A538" s="7" t="s">
        <v>58</v>
      </c>
      <c r="B538" s="20"/>
      <c r="C538" s="20"/>
      <c r="D538" s="20"/>
      <c r="E538" s="20"/>
      <c r="F538" s="20" t="s">
        <v>195</v>
      </c>
      <c r="G538" s="214">
        <v>2.5</v>
      </c>
      <c r="H538" s="215"/>
      <c r="I538" s="214"/>
      <c r="J538" s="214"/>
    </row>
    <row r="539" spans="1:10" s="21" customFormat="1" ht="12.75" hidden="1">
      <c r="A539" s="7" t="s">
        <v>59</v>
      </c>
      <c r="B539" s="20"/>
      <c r="C539" s="20"/>
      <c r="D539" s="20"/>
      <c r="E539" s="20"/>
      <c r="F539" s="20" t="s">
        <v>196</v>
      </c>
      <c r="G539" s="214"/>
      <c r="H539" s="215"/>
      <c r="I539" s="214"/>
      <c r="J539" s="214"/>
    </row>
    <row r="540" spans="1:10" s="21" customFormat="1" ht="12.75" hidden="1">
      <c r="A540" s="7" t="s">
        <v>60</v>
      </c>
      <c r="B540" s="20"/>
      <c r="C540" s="20"/>
      <c r="D540" s="20"/>
      <c r="E540" s="20"/>
      <c r="F540" s="20" t="s">
        <v>197</v>
      </c>
      <c r="G540" s="214"/>
      <c r="H540" s="215"/>
      <c r="I540" s="214"/>
      <c r="J540" s="214"/>
    </row>
    <row r="541" spans="1:10" s="21" customFormat="1" ht="38.25" hidden="1">
      <c r="A541" s="7" t="s">
        <v>61</v>
      </c>
      <c r="B541" s="20"/>
      <c r="C541" s="20"/>
      <c r="D541" s="20"/>
      <c r="E541" s="20"/>
      <c r="F541" s="20" t="s">
        <v>198</v>
      </c>
      <c r="G541" s="214">
        <v>30</v>
      </c>
      <c r="H541" s="215"/>
      <c r="I541" s="214"/>
      <c r="J541" s="214"/>
    </row>
    <row r="542" spans="1:13" s="21" customFormat="1" ht="12.75" hidden="1">
      <c r="A542" s="23" t="s">
        <v>73</v>
      </c>
      <c r="B542" s="24" t="s">
        <v>158</v>
      </c>
      <c r="C542" s="24" t="s">
        <v>140</v>
      </c>
      <c r="D542" s="24" t="s">
        <v>69</v>
      </c>
      <c r="E542" s="24"/>
      <c r="F542" s="24"/>
      <c r="G542" s="218">
        <f>SUM(G543,G551,G571,G574,G576)</f>
        <v>1291</v>
      </c>
      <c r="H542" s="215"/>
      <c r="I542" s="218"/>
      <c r="J542" s="218"/>
      <c r="K542" s="73"/>
      <c r="L542" s="73"/>
      <c r="M542" s="73"/>
    </row>
    <row r="543" spans="1:13" s="45" customFormat="1" ht="16.5" customHeight="1" hidden="1">
      <c r="A543" s="43" t="s">
        <v>4</v>
      </c>
      <c r="B543" s="44" t="s">
        <v>158</v>
      </c>
      <c r="C543" s="44" t="s">
        <v>140</v>
      </c>
      <c r="D543" s="44" t="s">
        <v>69</v>
      </c>
      <c r="E543" s="44" t="s">
        <v>5</v>
      </c>
      <c r="F543" s="44"/>
      <c r="G543" s="197">
        <f>SUM(G544,G545,G550)</f>
        <v>1109.3</v>
      </c>
      <c r="H543" s="198"/>
      <c r="I543" s="197"/>
      <c r="J543" s="197"/>
      <c r="K543" s="93"/>
      <c r="L543" s="93"/>
      <c r="M543" s="93"/>
    </row>
    <row r="544" spans="1:13" s="21" customFormat="1" ht="12.75" hidden="1">
      <c r="A544" s="16" t="s">
        <v>6</v>
      </c>
      <c r="B544" s="17" t="s">
        <v>207</v>
      </c>
      <c r="C544" s="17" t="s">
        <v>140</v>
      </c>
      <c r="D544" s="17" t="s">
        <v>69</v>
      </c>
      <c r="E544" s="17" t="s">
        <v>7</v>
      </c>
      <c r="F544" s="17"/>
      <c r="G544" s="186">
        <v>740</v>
      </c>
      <c r="H544" s="215"/>
      <c r="I544" s="186"/>
      <c r="J544" s="186"/>
      <c r="K544" s="74"/>
      <c r="L544" s="74"/>
      <c r="M544" s="74"/>
    </row>
    <row r="545" spans="1:13" s="21" customFormat="1" ht="12.75" hidden="1">
      <c r="A545" s="16" t="s">
        <v>8</v>
      </c>
      <c r="B545" s="17" t="s">
        <v>207</v>
      </c>
      <c r="C545" s="17" t="s">
        <v>140</v>
      </c>
      <c r="D545" s="17" t="s">
        <v>69</v>
      </c>
      <c r="E545" s="17" t="s">
        <v>9</v>
      </c>
      <c r="F545" s="17"/>
      <c r="G545" s="186">
        <f>SUM(G546:G549)</f>
        <v>175.3</v>
      </c>
      <c r="H545" s="215"/>
      <c r="I545" s="186"/>
      <c r="J545" s="186"/>
      <c r="K545" s="74"/>
      <c r="L545" s="74"/>
      <c r="M545" s="74"/>
    </row>
    <row r="546" spans="1:13" s="21" customFormat="1" ht="25.5" hidden="1">
      <c r="A546" s="11" t="s">
        <v>10</v>
      </c>
      <c r="B546" s="4"/>
      <c r="C546" s="4"/>
      <c r="D546" s="4"/>
      <c r="E546" s="4"/>
      <c r="F546" s="4" t="s">
        <v>183</v>
      </c>
      <c r="G546" s="200">
        <v>0.6</v>
      </c>
      <c r="H546" s="215"/>
      <c r="I546" s="200"/>
      <c r="J546" s="200"/>
      <c r="K546" s="75"/>
      <c r="L546" s="75"/>
      <c r="M546" s="75"/>
    </row>
    <row r="547" spans="1:13" s="21" customFormat="1" ht="14.25" customHeight="1" hidden="1">
      <c r="A547" s="12" t="s">
        <v>11</v>
      </c>
      <c r="B547" s="4"/>
      <c r="C547" s="4"/>
      <c r="D547" s="4"/>
      <c r="E547" s="4"/>
      <c r="F547" s="4" t="s">
        <v>200</v>
      </c>
      <c r="G547" s="200">
        <v>20.7</v>
      </c>
      <c r="H547" s="215"/>
      <c r="I547" s="200"/>
      <c r="J547" s="200"/>
      <c r="K547" s="75"/>
      <c r="L547" s="75"/>
      <c r="M547" s="75"/>
    </row>
    <row r="548" spans="1:13" s="30" customFormat="1" ht="12.75" hidden="1">
      <c r="A548" s="65" t="s">
        <v>130</v>
      </c>
      <c r="B548" s="29"/>
      <c r="C548" s="29"/>
      <c r="D548" s="29"/>
      <c r="E548" s="29"/>
      <c r="F548" s="29" t="s">
        <v>199</v>
      </c>
      <c r="G548" s="212">
        <v>4</v>
      </c>
      <c r="H548" s="205"/>
      <c r="I548" s="212"/>
      <c r="J548" s="212"/>
      <c r="K548" s="76"/>
      <c r="L548" s="76"/>
      <c r="M548" s="76"/>
    </row>
    <row r="549" spans="1:13" s="21" customFormat="1" ht="25.5" hidden="1">
      <c r="A549" s="6" t="s">
        <v>12</v>
      </c>
      <c r="B549" s="4"/>
      <c r="C549" s="4"/>
      <c r="D549" s="4"/>
      <c r="E549" s="4"/>
      <c r="F549" s="4" t="s">
        <v>184</v>
      </c>
      <c r="G549" s="186">
        <v>150</v>
      </c>
      <c r="H549" s="215"/>
      <c r="I549" s="200"/>
      <c r="J549" s="186"/>
      <c r="K549" s="74"/>
      <c r="L549" s="74"/>
      <c r="M549" s="75"/>
    </row>
    <row r="550" spans="1:13" s="21" customFormat="1" ht="12.75" hidden="1">
      <c r="A550" s="16" t="s">
        <v>13</v>
      </c>
      <c r="B550" s="17" t="s">
        <v>207</v>
      </c>
      <c r="C550" s="17" t="s">
        <v>140</v>
      </c>
      <c r="D550" s="17" t="s">
        <v>69</v>
      </c>
      <c r="E550" s="17" t="s">
        <v>14</v>
      </c>
      <c r="F550" s="17"/>
      <c r="G550" s="186">
        <v>194</v>
      </c>
      <c r="H550" s="215"/>
      <c r="I550" s="201"/>
      <c r="J550" s="186"/>
      <c r="K550" s="74"/>
      <c r="L550" s="74"/>
      <c r="M550" s="74"/>
    </row>
    <row r="551" spans="1:13" s="45" customFormat="1" ht="12.75" hidden="1">
      <c r="A551" s="43" t="s">
        <v>15</v>
      </c>
      <c r="B551" s="44" t="s">
        <v>207</v>
      </c>
      <c r="C551" s="44" t="s">
        <v>140</v>
      </c>
      <c r="D551" s="44" t="s">
        <v>69</v>
      </c>
      <c r="E551" s="44" t="s">
        <v>16</v>
      </c>
      <c r="F551" s="44"/>
      <c r="G551" s="197">
        <f>SUM(G552:G553,G556,G560,G561,G567,)</f>
        <v>179.2</v>
      </c>
      <c r="H551" s="198"/>
      <c r="I551" s="197"/>
      <c r="J551" s="197"/>
      <c r="K551" s="93"/>
      <c r="L551" s="93"/>
      <c r="M551" s="93"/>
    </row>
    <row r="552" spans="1:13" s="21" customFormat="1" ht="12.75" hidden="1">
      <c r="A552" s="16" t="s">
        <v>17</v>
      </c>
      <c r="B552" s="17" t="s">
        <v>207</v>
      </c>
      <c r="C552" s="17" t="s">
        <v>140</v>
      </c>
      <c r="D552" s="17" t="s">
        <v>69</v>
      </c>
      <c r="E552" s="17" t="s">
        <v>18</v>
      </c>
      <c r="F552" s="17"/>
      <c r="G552" s="186">
        <v>6.5</v>
      </c>
      <c r="H552" s="215"/>
      <c r="I552" s="186"/>
      <c r="J552" s="186"/>
      <c r="K552" s="74"/>
      <c r="L552" s="74"/>
      <c r="M552" s="74"/>
    </row>
    <row r="553" spans="1:13" s="21" customFormat="1" ht="12.75" hidden="1">
      <c r="A553" s="16" t="s">
        <v>21</v>
      </c>
      <c r="B553" s="17" t="s">
        <v>207</v>
      </c>
      <c r="C553" s="17" t="s">
        <v>140</v>
      </c>
      <c r="D553" s="17" t="s">
        <v>69</v>
      </c>
      <c r="E553" s="17" t="s">
        <v>19</v>
      </c>
      <c r="F553" s="17"/>
      <c r="G553" s="186">
        <f>SUM(G554:G555)</f>
        <v>10.5</v>
      </c>
      <c r="H553" s="215"/>
      <c r="I553" s="186"/>
      <c r="J553" s="186"/>
      <c r="K553" s="74"/>
      <c r="L553" s="74"/>
      <c r="M553" s="74"/>
    </row>
    <row r="554" spans="1:13" s="21" customFormat="1" ht="25.5" hidden="1">
      <c r="A554" s="11" t="s">
        <v>20</v>
      </c>
      <c r="B554" s="4"/>
      <c r="C554" s="4"/>
      <c r="D554" s="4"/>
      <c r="E554" s="4"/>
      <c r="F554" s="4" t="s">
        <v>183</v>
      </c>
      <c r="G554" s="200">
        <v>10.5</v>
      </c>
      <c r="H554" s="215"/>
      <c r="I554" s="200"/>
      <c r="J554" s="200"/>
      <c r="K554" s="75"/>
      <c r="L554" s="75"/>
      <c r="M554" s="75"/>
    </row>
    <row r="555" spans="1:13" s="21" customFormat="1" ht="38.25" hidden="1">
      <c r="A555" s="8" t="s">
        <v>22</v>
      </c>
      <c r="B555" s="4"/>
      <c r="C555" s="4"/>
      <c r="D555" s="4"/>
      <c r="E555" s="4"/>
      <c r="F555" s="4" t="s">
        <v>185</v>
      </c>
      <c r="G555" s="200"/>
      <c r="H555" s="215"/>
      <c r="I555" s="200"/>
      <c r="J555" s="200"/>
      <c r="K555" s="75"/>
      <c r="L555" s="75"/>
      <c r="M555" s="75"/>
    </row>
    <row r="556" spans="1:13" s="21" customFormat="1" ht="12.75" hidden="1">
      <c r="A556" s="16" t="s">
        <v>23</v>
      </c>
      <c r="B556" s="17" t="s">
        <v>207</v>
      </c>
      <c r="C556" s="17" t="s">
        <v>140</v>
      </c>
      <c r="D556" s="17" t="s">
        <v>69</v>
      </c>
      <c r="E556" s="17" t="s">
        <v>24</v>
      </c>
      <c r="F556" s="17"/>
      <c r="G556" s="186">
        <f>SUM(G557:G559)</f>
        <v>141.2</v>
      </c>
      <c r="H556" s="215"/>
      <c r="I556" s="186"/>
      <c r="J556" s="186"/>
      <c r="K556" s="74"/>
      <c r="L556" s="74"/>
      <c r="M556" s="74"/>
    </row>
    <row r="557" spans="1:13" s="21" customFormat="1" ht="25.5" hidden="1">
      <c r="A557" s="7" t="s">
        <v>25</v>
      </c>
      <c r="B557" s="4"/>
      <c r="C557" s="4"/>
      <c r="D557" s="4"/>
      <c r="E557" s="4"/>
      <c r="F557" s="4" t="s">
        <v>186</v>
      </c>
      <c r="G557" s="200">
        <v>137.1</v>
      </c>
      <c r="H557" s="215"/>
      <c r="I557" s="200"/>
      <c r="J557" s="200"/>
      <c r="K557" s="75"/>
      <c r="L557" s="75"/>
      <c r="M557" s="75"/>
    </row>
    <row r="558" spans="1:13" s="21" customFormat="1" ht="25.5" customHeight="1" hidden="1">
      <c r="A558" s="7" t="s">
        <v>26</v>
      </c>
      <c r="B558" s="4"/>
      <c r="C558" s="4"/>
      <c r="D558" s="4"/>
      <c r="E558" s="4"/>
      <c r="F558" s="4" t="s">
        <v>187</v>
      </c>
      <c r="G558" s="200">
        <v>1.5</v>
      </c>
      <c r="H558" s="215"/>
      <c r="I558" s="200"/>
      <c r="J558" s="200"/>
      <c r="K558" s="75"/>
      <c r="L558" s="75"/>
      <c r="M558" s="75"/>
    </row>
    <row r="559" spans="1:13" s="21" customFormat="1" ht="12.75" hidden="1">
      <c r="A559" s="7" t="s">
        <v>27</v>
      </c>
      <c r="B559" s="4"/>
      <c r="C559" s="4"/>
      <c r="D559" s="4"/>
      <c r="E559" s="4"/>
      <c r="F559" s="4" t="s">
        <v>188</v>
      </c>
      <c r="G559" s="200">
        <v>2.6</v>
      </c>
      <c r="H559" s="215"/>
      <c r="I559" s="200"/>
      <c r="J559" s="200"/>
      <c r="K559" s="75"/>
      <c r="L559" s="75"/>
      <c r="M559" s="75"/>
    </row>
    <row r="560" spans="1:13" s="21" customFormat="1" ht="15.75" customHeight="1" hidden="1">
      <c r="A560" s="16" t="s">
        <v>28</v>
      </c>
      <c r="B560" s="17" t="s">
        <v>207</v>
      </c>
      <c r="C560" s="17" t="s">
        <v>140</v>
      </c>
      <c r="D560" s="17" t="s">
        <v>69</v>
      </c>
      <c r="E560" s="17" t="s">
        <v>29</v>
      </c>
      <c r="F560" s="17"/>
      <c r="G560" s="186"/>
      <c r="H560" s="215"/>
      <c r="I560" s="200"/>
      <c r="J560" s="186"/>
      <c r="K560" s="74"/>
      <c r="L560" s="74"/>
      <c r="M560" s="74"/>
    </row>
    <row r="561" spans="1:13" s="21" customFormat="1" ht="12.75" hidden="1">
      <c r="A561" s="16" t="s">
        <v>30</v>
      </c>
      <c r="B561" s="17" t="s">
        <v>207</v>
      </c>
      <c r="C561" s="17" t="s">
        <v>140</v>
      </c>
      <c r="D561" s="17" t="s">
        <v>69</v>
      </c>
      <c r="E561" s="17" t="s">
        <v>31</v>
      </c>
      <c r="F561" s="17"/>
      <c r="G561" s="186">
        <f>SUM(G562:G566)</f>
        <v>7.8</v>
      </c>
      <c r="H561" s="215"/>
      <c r="I561" s="186"/>
      <c r="J561" s="186"/>
      <c r="K561" s="74"/>
      <c r="L561" s="74"/>
      <c r="M561" s="74"/>
    </row>
    <row r="562" spans="1:13" s="21" customFormat="1" ht="12.75" hidden="1">
      <c r="A562" s="7" t="s">
        <v>32</v>
      </c>
      <c r="B562" s="17"/>
      <c r="C562" s="17"/>
      <c r="D562" s="17"/>
      <c r="E562" s="17"/>
      <c r="F562" s="17" t="s">
        <v>189</v>
      </c>
      <c r="G562" s="186">
        <v>7.8</v>
      </c>
      <c r="H562" s="215"/>
      <c r="I562" s="186"/>
      <c r="J562" s="186"/>
      <c r="K562" s="74"/>
      <c r="L562" s="74"/>
      <c r="M562" s="74"/>
    </row>
    <row r="563" spans="1:13" s="21" customFormat="1" ht="12.75" hidden="1">
      <c r="A563" s="7" t="s">
        <v>33</v>
      </c>
      <c r="B563" s="17"/>
      <c r="C563" s="17"/>
      <c r="D563" s="17"/>
      <c r="E563" s="17"/>
      <c r="F563" s="17" t="s">
        <v>191</v>
      </c>
      <c r="G563" s="186"/>
      <c r="H563" s="215"/>
      <c r="I563" s="186"/>
      <c r="J563" s="186"/>
      <c r="K563" s="74"/>
      <c r="L563" s="74"/>
      <c r="M563" s="74"/>
    </row>
    <row r="564" spans="1:13" s="21" customFormat="1" ht="25.5" hidden="1">
      <c r="A564" s="7" t="s">
        <v>34</v>
      </c>
      <c r="B564" s="17"/>
      <c r="C564" s="17"/>
      <c r="D564" s="17"/>
      <c r="E564" s="17"/>
      <c r="F564" s="17" t="s">
        <v>221</v>
      </c>
      <c r="G564" s="186"/>
      <c r="H564" s="215"/>
      <c r="I564" s="186"/>
      <c r="J564" s="186"/>
      <c r="K564" s="74"/>
      <c r="L564" s="74"/>
      <c r="M564" s="74"/>
    </row>
    <row r="565" spans="1:13" s="21" customFormat="1" ht="25.5" hidden="1">
      <c r="A565" s="7" t="s">
        <v>35</v>
      </c>
      <c r="B565" s="17"/>
      <c r="C565" s="17"/>
      <c r="D565" s="17"/>
      <c r="E565" s="17"/>
      <c r="F565" s="17" t="s">
        <v>190</v>
      </c>
      <c r="G565" s="186"/>
      <c r="H565" s="215"/>
      <c r="I565" s="186"/>
      <c r="J565" s="186"/>
      <c r="K565" s="74"/>
      <c r="L565" s="74"/>
      <c r="M565" s="74"/>
    </row>
    <row r="566" spans="1:13" s="21" customFormat="1" ht="51" hidden="1">
      <c r="A566" s="7" t="s">
        <v>36</v>
      </c>
      <c r="B566" s="17"/>
      <c r="C566" s="17"/>
      <c r="D566" s="17"/>
      <c r="E566" s="17"/>
      <c r="F566" s="17" t="s">
        <v>190</v>
      </c>
      <c r="G566" s="186"/>
      <c r="H566" s="215"/>
      <c r="I566" s="186"/>
      <c r="J566" s="186"/>
      <c r="K566" s="74"/>
      <c r="L566" s="74"/>
      <c r="M566" s="74"/>
    </row>
    <row r="567" spans="1:13" s="21" customFormat="1" ht="12.75" hidden="1">
      <c r="A567" s="16" t="s">
        <v>37</v>
      </c>
      <c r="B567" s="17" t="s">
        <v>207</v>
      </c>
      <c r="C567" s="17" t="s">
        <v>140</v>
      </c>
      <c r="D567" s="17" t="s">
        <v>69</v>
      </c>
      <c r="E567" s="17" t="s">
        <v>38</v>
      </c>
      <c r="F567" s="17"/>
      <c r="G567" s="186">
        <f>SUM(G568:G570)</f>
        <v>13.200000000000001</v>
      </c>
      <c r="H567" s="215"/>
      <c r="I567" s="186"/>
      <c r="J567" s="186"/>
      <c r="K567" s="74"/>
      <c r="L567" s="74"/>
      <c r="M567" s="74"/>
    </row>
    <row r="568" spans="1:13" s="21" customFormat="1" ht="38.25" hidden="1">
      <c r="A568" s="11" t="s">
        <v>39</v>
      </c>
      <c r="B568" s="20"/>
      <c r="C568" s="20"/>
      <c r="D568" s="20"/>
      <c r="E568" s="20"/>
      <c r="F568" s="20" t="s">
        <v>183</v>
      </c>
      <c r="G568" s="214">
        <v>3.9</v>
      </c>
      <c r="H568" s="215"/>
      <c r="I568" s="214"/>
      <c r="J568" s="214"/>
      <c r="K568" s="77"/>
      <c r="L568" s="77"/>
      <c r="M568" s="77"/>
    </row>
    <row r="569" spans="1:13" s="21" customFormat="1" ht="38.25" hidden="1">
      <c r="A569" s="19" t="s">
        <v>40</v>
      </c>
      <c r="B569" s="20"/>
      <c r="C569" s="20"/>
      <c r="D569" s="20"/>
      <c r="E569" s="20"/>
      <c r="F569" s="20" t="s">
        <v>222</v>
      </c>
      <c r="G569" s="214"/>
      <c r="H569" s="215"/>
      <c r="I569" s="214"/>
      <c r="J569" s="214"/>
      <c r="K569" s="77"/>
      <c r="L569" s="77"/>
      <c r="M569" s="77"/>
    </row>
    <row r="570" spans="1:13" s="21" customFormat="1" ht="25.5" hidden="1">
      <c r="A570" s="12" t="s">
        <v>41</v>
      </c>
      <c r="B570" s="20"/>
      <c r="C570" s="20"/>
      <c r="D570" s="20"/>
      <c r="E570" s="20"/>
      <c r="F570" s="20" t="s">
        <v>192</v>
      </c>
      <c r="G570" s="214">
        <v>9.3</v>
      </c>
      <c r="H570" s="215"/>
      <c r="I570" s="214"/>
      <c r="J570" s="214"/>
      <c r="K570" s="77"/>
      <c r="L570" s="77"/>
      <c r="M570" s="77"/>
    </row>
    <row r="571" spans="1:13" s="45" customFormat="1" ht="12.75" hidden="1">
      <c r="A571" s="43" t="s">
        <v>42</v>
      </c>
      <c r="B571" s="44" t="s">
        <v>207</v>
      </c>
      <c r="C571" s="44" t="s">
        <v>140</v>
      </c>
      <c r="D571" s="44" t="s">
        <v>69</v>
      </c>
      <c r="E571" s="44" t="s">
        <v>43</v>
      </c>
      <c r="F571" s="44"/>
      <c r="G571" s="197">
        <f>SUM(G572)</f>
        <v>0</v>
      </c>
      <c r="H571" s="198"/>
      <c r="I571" s="197"/>
      <c r="J571" s="197"/>
      <c r="K571" s="93"/>
      <c r="L571" s="93"/>
      <c r="M571" s="93"/>
    </row>
    <row r="572" spans="1:13" s="21" customFormat="1" ht="10.5" customHeight="1" hidden="1">
      <c r="A572" s="16" t="s">
        <v>44</v>
      </c>
      <c r="B572" s="17" t="s">
        <v>207</v>
      </c>
      <c r="C572" s="17" t="s">
        <v>140</v>
      </c>
      <c r="D572" s="17" t="s">
        <v>69</v>
      </c>
      <c r="E572" s="17" t="s">
        <v>45</v>
      </c>
      <c r="F572" s="17"/>
      <c r="G572" s="186">
        <f>SUM(G573)</f>
        <v>0</v>
      </c>
      <c r="H572" s="215"/>
      <c r="I572" s="186"/>
      <c r="J572" s="186"/>
      <c r="K572" s="74"/>
      <c r="L572" s="74"/>
      <c r="M572" s="74"/>
    </row>
    <row r="573" spans="1:13" s="21" customFormat="1" ht="12.75" hidden="1">
      <c r="A573" s="6" t="s">
        <v>46</v>
      </c>
      <c r="B573" s="20"/>
      <c r="C573" s="20"/>
      <c r="D573" s="20"/>
      <c r="E573" s="20"/>
      <c r="F573" s="20"/>
      <c r="G573" s="214"/>
      <c r="H573" s="215"/>
      <c r="I573" s="212"/>
      <c r="J573" s="214"/>
      <c r="K573" s="77"/>
      <c r="L573" s="77"/>
      <c r="M573" s="77"/>
    </row>
    <row r="574" spans="1:13" s="45" customFormat="1" ht="12.75" hidden="1">
      <c r="A574" s="43" t="s">
        <v>47</v>
      </c>
      <c r="B574" s="44" t="s">
        <v>207</v>
      </c>
      <c r="C574" s="44" t="s">
        <v>140</v>
      </c>
      <c r="D574" s="44" t="s">
        <v>69</v>
      </c>
      <c r="E574" s="44" t="s">
        <v>48</v>
      </c>
      <c r="F574" s="44"/>
      <c r="G574" s="197">
        <f>SUM(G575)</f>
        <v>0</v>
      </c>
      <c r="H574" s="198"/>
      <c r="I574" s="197"/>
      <c r="J574" s="197"/>
      <c r="K574" s="93"/>
      <c r="L574" s="93"/>
      <c r="M574" s="93"/>
    </row>
    <row r="575" spans="1:13" s="21" customFormat="1" ht="26.25" customHeight="1" hidden="1">
      <c r="A575" s="12" t="s">
        <v>41</v>
      </c>
      <c r="B575" s="20"/>
      <c r="C575" s="20"/>
      <c r="D575" s="20"/>
      <c r="E575" s="20"/>
      <c r="F575" s="20"/>
      <c r="G575" s="214"/>
      <c r="H575" s="215"/>
      <c r="I575" s="214"/>
      <c r="J575" s="214"/>
      <c r="K575" s="77"/>
      <c r="L575" s="77"/>
      <c r="M575" s="77"/>
    </row>
    <row r="576" spans="1:13" s="45" customFormat="1" ht="12.75" hidden="1">
      <c r="A576" s="43" t="s">
        <v>49</v>
      </c>
      <c r="B576" s="44" t="s">
        <v>207</v>
      </c>
      <c r="C576" s="44" t="s">
        <v>140</v>
      </c>
      <c r="D576" s="44" t="s">
        <v>69</v>
      </c>
      <c r="E576" s="44" t="s">
        <v>50</v>
      </c>
      <c r="F576" s="44"/>
      <c r="G576" s="197">
        <f>SUM(G577,G581)</f>
        <v>2.5</v>
      </c>
      <c r="H576" s="198"/>
      <c r="I576" s="197"/>
      <c r="J576" s="197"/>
      <c r="K576" s="93"/>
      <c r="L576" s="93"/>
      <c r="M576" s="93"/>
    </row>
    <row r="577" spans="1:13" s="21" customFormat="1" ht="12.75" hidden="1">
      <c r="A577" s="16" t="s">
        <v>51</v>
      </c>
      <c r="B577" s="17" t="s">
        <v>207</v>
      </c>
      <c r="C577" s="17" t="s">
        <v>140</v>
      </c>
      <c r="D577" s="17" t="s">
        <v>69</v>
      </c>
      <c r="E577" s="17" t="s">
        <v>52</v>
      </c>
      <c r="F577" s="17"/>
      <c r="G577" s="186">
        <f>SUM(G578:G580)</f>
        <v>0</v>
      </c>
      <c r="H577" s="215"/>
      <c r="I577" s="186"/>
      <c r="J577" s="186"/>
      <c r="K577" s="74"/>
      <c r="L577" s="74"/>
      <c r="M577" s="74"/>
    </row>
    <row r="578" spans="1:13" s="21" customFormat="1" ht="12.75" hidden="1">
      <c r="A578" s="7" t="s">
        <v>53</v>
      </c>
      <c r="B578" s="20"/>
      <c r="C578" s="20"/>
      <c r="D578" s="20"/>
      <c r="E578" s="20"/>
      <c r="F578" s="20" t="s">
        <v>223</v>
      </c>
      <c r="G578" s="214"/>
      <c r="H578" s="215"/>
      <c r="I578" s="214"/>
      <c r="J578" s="214"/>
      <c r="K578" s="77"/>
      <c r="L578" s="77"/>
      <c r="M578" s="77"/>
    </row>
    <row r="579" spans="1:13" s="21" customFormat="1" ht="51" hidden="1">
      <c r="A579" s="7" t="s">
        <v>54</v>
      </c>
      <c r="B579" s="20"/>
      <c r="C579" s="20"/>
      <c r="D579" s="20"/>
      <c r="E579" s="20"/>
      <c r="F579" s="20" t="s">
        <v>194</v>
      </c>
      <c r="G579" s="214"/>
      <c r="H579" s="215"/>
      <c r="I579" s="214"/>
      <c r="J579" s="214"/>
      <c r="K579" s="77"/>
      <c r="L579" s="77"/>
      <c r="M579" s="77"/>
    </row>
    <row r="580" spans="1:13" s="21" customFormat="1" ht="52.5" customHeight="1" hidden="1">
      <c r="A580" s="7" t="s">
        <v>55</v>
      </c>
      <c r="B580" s="20"/>
      <c r="C580" s="20"/>
      <c r="D580" s="20"/>
      <c r="E580" s="20"/>
      <c r="F580" s="20" t="s">
        <v>193</v>
      </c>
      <c r="G580" s="214"/>
      <c r="H580" s="215"/>
      <c r="I580" s="214"/>
      <c r="J580" s="214"/>
      <c r="K580" s="77"/>
      <c r="L580" s="77"/>
      <c r="M580" s="77"/>
    </row>
    <row r="581" spans="1:13" s="21" customFormat="1" ht="17.25" customHeight="1" hidden="1">
      <c r="A581" s="16" t="s">
        <v>56</v>
      </c>
      <c r="B581" s="17" t="s">
        <v>207</v>
      </c>
      <c r="C581" s="17" t="s">
        <v>140</v>
      </c>
      <c r="D581" s="17" t="s">
        <v>69</v>
      </c>
      <c r="E581" s="17" t="s">
        <v>57</v>
      </c>
      <c r="F581" s="17"/>
      <c r="G581" s="186">
        <f>SUM(G582:G585)</f>
        <v>2.5</v>
      </c>
      <c r="H581" s="215"/>
      <c r="I581" s="186"/>
      <c r="J581" s="186"/>
      <c r="K581" s="74"/>
      <c r="L581" s="74"/>
      <c r="M581" s="74"/>
    </row>
    <row r="582" spans="1:13" s="21" customFormat="1" ht="25.5" hidden="1">
      <c r="A582" s="7" t="s">
        <v>58</v>
      </c>
      <c r="B582" s="20"/>
      <c r="C582" s="20"/>
      <c r="D582" s="20"/>
      <c r="E582" s="20"/>
      <c r="F582" s="20" t="s">
        <v>195</v>
      </c>
      <c r="G582" s="214">
        <v>2.5</v>
      </c>
      <c r="H582" s="215"/>
      <c r="I582" s="214"/>
      <c r="J582" s="214"/>
      <c r="K582" s="77"/>
      <c r="L582" s="77"/>
      <c r="M582" s="77"/>
    </row>
    <row r="583" spans="1:13" s="21" customFormat="1" ht="12.75" hidden="1">
      <c r="A583" s="7" t="s">
        <v>59</v>
      </c>
      <c r="B583" s="20"/>
      <c r="C583" s="20"/>
      <c r="D583" s="20"/>
      <c r="E583" s="20"/>
      <c r="F583" s="20" t="s">
        <v>196</v>
      </c>
      <c r="G583" s="214"/>
      <c r="H583" s="215"/>
      <c r="I583" s="214"/>
      <c r="J583" s="214"/>
      <c r="K583" s="77"/>
      <c r="L583" s="77"/>
      <c r="M583" s="77"/>
    </row>
    <row r="584" spans="1:13" s="21" customFormat="1" ht="12.75" hidden="1">
      <c r="A584" s="7" t="s">
        <v>60</v>
      </c>
      <c r="B584" s="20"/>
      <c r="C584" s="20"/>
      <c r="D584" s="20"/>
      <c r="E584" s="20"/>
      <c r="F584" s="20" t="s">
        <v>197</v>
      </c>
      <c r="G584" s="214"/>
      <c r="H584" s="215"/>
      <c r="I584" s="214"/>
      <c r="J584" s="214"/>
      <c r="K584" s="77"/>
      <c r="L584" s="77"/>
      <c r="M584" s="77"/>
    </row>
    <row r="585" spans="1:13" s="21" customFormat="1" ht="26.25" customHeight="1" hidden="1">
      <c r="A585" s="7" t="s">
        <v>61</v>
      </c>
      <c r="B585" s="20"/>
      <c r="C585" s="20"/>
      <c r="D585" s="20"/>
      <c r="E585" s="20"/>
      <c r="F585" s="20" t="s">
        <v>198</v>
      </c>
      <c r="G585" s="214"/>
      <c r="H585" s="215"/>
      <c r="I585" s="214"/>
      <c r="J585" s="214"/>
      <c r="K585" s="77"/>
      <c r="L585" s="77"/>
      <c r="M585" s="77"/>
    </row>
    <row r="586" spans="1:10" s="21" customFormat="1" ht="12.75" hidden="1">
      <c r="A586" s="7"/>
      <c r="B586" s="20"/>
      <c r="C586" s="20"/>
      <c r="D586" s="20"/>
      <c r="E586" s="20"/>
      <c r="F586" s="20"/>
      <c r="G586" s="214"/>
      <c r="H586" s="215"/>
      <c r="I586" s="214"/>
      <c r="J586" s="214"/>
    </row>
    <row r="587" spans="1:10" s="21" customFormat="1" ht="12.75" hidden="1">
      <c r="A587" s="26" t="s">
        <v>74</v>
      </c>
      <c r="B587" s="24" t="s">
        <v>159</v>
      </c>
      <c r="C587" s="24" t="s">
        <v>88</v>
      </c>
      <c r="D587" s="24" t="s">
        <v>2</v>
      </c>
      <c r="E587" s="24"/>
      <c r="F587" s="24"/>
      <c r="G587" s="196"/>
      <c r="H587" s="215"/>
      <c r="I587" s="214"/>
      <c r="J587" s="214"/>
    </row>
    <row r="588" spans="1:10" s="46" customFormat="1" ht="46.5" customHeight="1" hidden="1">
      <c r="A588" s="26" t="s">
        <v>124</v>
      </c>
      <c r="B588" s="24" t="s">
        <v>159</v>
      </c>
      <c r="C588" s="24" t="s">
        <v>125</v>
      </c>
      <c r="D588" s="24" t="s">
        <v>69</v>
      </c>
      <c r="E588" s="24"/>
      <c r="F588" s="24"/>
      <c r="G588" s="218">
        <f>SUM(G589,G597,G617,G620,G622)</f>
        <v>891.1</v>
      </c>
      <c r="H588" s="215"/>
      <c r="I588" s="224"/>
      <c r="J588" s="224"/>
    </row>
    <row r="589" spans="1:10" s="21" customFormat="1" ht="14.25" customHeight="1" hidden="1">
      <c r="A589" s="10" t="s">
        <v>4</v>
      </c>
      <c r="B589" s="14" t="s">
        <v>208</v>
      </c>
      <c r="C589" s="14" t="s">
        <v>125</v>
      </c>
      <c r="D589" s="14" t="s">
        <v>69</v>
      </c>
      <c r="E589" s="14" t="s">
        <v>5</v>
      </c>
      <c r="F589" s="14"/>
      <c r="G589" s="211">
        <f>SUM(G590,G591,G596)</f>
        <v>679.7</v>
      </c>
      <c r="H589" s="215"/>
      <c r="I589" s="214"/>
      <c r="J589" s="214"/>
    </row>
    <row r="590" spans="1:10" s="21" customFormat="1" ht="12.75" hidden="1">
      <c r="A590" s="16" t="s">
        <v>6</v>
      </c>
      <c r="B590" s="17" t="s">
        <v>159</v>
      </c>
      <c r="C590" s="17" t="s">
        <v>125</v>
      </c>
      <c r="D590" s="17" t="s">
        <v>69</v>
      </c>
      <c r="E590" s="17" t="s">
        <v>7</v>
      </c>
      <c r="F590" s="17"/>
      <c r="G590" s="186">
        <v>490.9</v>
      </c>
      <c r="H590" s="215"/>
      <c r="I590" s="214"/>
      <c r="J590" s="214"/>
    </row>
    <row r="591" spans="1:10" s="21" customFormat="1" ht="12.75" hidden="1">
      <c r="A591" s="16" t="s">
        <v>8</v>
      </c>
      <c r="B591" s="17" t="s">
        <v>159</v>
      </c>
      <c r="C591" s="17" t="s">
        <v>125</v>
      </c>
      <c r="D591" s="17" t="s">
        <v>69</v>
      </c>
      <c r="E591" s="17" t="s">
        <v>9</v>
      </c>
      <c r="F591" s="17"/>
      <c r="G591" s="186">
        <f>SUM(G592:G595)</f>
        <v>60.2</v>
      </c>
      <c r="H591" s="215"/>
      <c r="I591" s="214"/>
      <c r="J591" s="214"/>
    </row>
    <row r="592" spans="1:10" s="21" customFormat="1" ht="25.5" hidden="1">
      <c r="A592" s="11" t="s">
        <v>10</v>
      </c>
      <c r="B592" s="4"/>
      <c r="C592" s="4"/>
      <c r="D592" s="4"/>
      <c r="E592" s="4"/>
      <c r="F592" s="4" t="s">
        <v>183</v>
      </c>
      <c r="G592" s="200">
        <v>0.6</v>
      </c>
      <c r="H592" s="215"/>
      <c r="I592" s="214"/>
      <c r="J592" s="214"/>
    </row>
    <row r="593" spans="1:10" s="21" customFormat="1" ht="15" customHeight="1" hidden="1">
      <c r="A593" s="12" t="s">
        <v>11</v>
      </c>
      <c r="B593" s="4"/>
      <c r="C593" s="4"/>
      <c r="D593" s="4"/>
      <c r="E593" s="4"/>
      <c r="F593" s="4" t="s">
        <v>200</v>
      </c>
      <c r="G593" s="200">
        <v>2</v>
      </c>
      <c r="H593" s="215"/>
      <c r="I593" s="214"/>
      <c r="J593" s="214"/>
    </row>
    <row r="594" spans="1:10" s="30" customFormat="1" ht="12.75" hidden="1">
      <c r="A594" s="65" t="s">
        <v>130</v>
      </c>
      <c r="B594" s="29"/>
      <c r="C594" s="29"/>
      <c r="D594" s="29"/>
      <c r="E594" s="29"/>
      <c r="F594" s="29" t="s">
        <v>199</v>
      </c>
      <c r="G594" s="212">
        <v>0.6</v>
      </c>
      <c r="H594" s="205"/>
      <c r="I594" s="212"/>
      <c r="J594" s="212"/>
    </row>
    <row r="595" spans="1:10" s="21" customFormat="1" ht="25.5" hidden="1">
      <c r="A595" s="6" t="s">
        <v>12</v>
      </c>
      <c r="B595" s="4"/>
      <c r="C595" s="4"/>
      <c r="D595" s="4"/>
      <c r="E595" s="4"/>
      <c r="F595" s="4" t="s">
        <v>184</v>
      </c>
      <c r="G595" s="200">
        <v>57</v>
      </c>
      <c r="H595" s="215"/>
      <c r="I595" s="214"/>
      <c r="J595" s="214"/>
    </row>
    <row r="596" spans="1:10" s="21" customFormat="1" ht="12.75" hidden="1">
      <c r="A596" s="16" t="s">
        <v>13</v>
      </c>
      <c r="B596" s="17" t="s">
        <v>159</v>
      </c>
      <c r="C596" s="17" t="s">
        <v>125</v>
      </c>
      <c r="D596" s="17" t="s">
        <v>69</v>
      </c>
      <c r="E596" s="17" t="s">
        <v>14</v>
      </c>
      <c r="F596" s="17"/>
      <c r="G596" s="186">
        <v>128.6</v>
      </c>
      <c r="H596" s="215"/>
      <c r="I596" s="214"/>
      <c r="J596" s="214"/>
    </row>
    <row r="597" spans="1:10" s="45" customFormat="1" ht="12.75" hidden="1">
      <c r="A597" s="43" t="s">
        <v>15</v>
      </c>
      <c r="B597" s="44" t="s">
        <v>159</v>
      </c>
      <c r="C597" s="14" t="s">
        <v>125</v>
      </c>
      <c r="D597" s="44" t="s">
        <v>69</v>
      </c>
      <c r="E597" s="44" t="s">
        <v>16</v>
      </c>
      <c r="F597" s="44"/>
      <c r="G597" s="197">
        <f>SUM(G598:G599,G602,G606,G607,G613,)</f>
        <v>201.4</v>
      </c>
      <c r="H597" s="198"/>
      <c r="I597" s="197"/>
      <c r="J597" s="197"/>
    </row>
    <row r="598" spans="1:10" s="21" customFormat="1" ht="12.75" hidden="1">
      <c r="A598" s="16" t="s">
        <v>17</v>
      </c>
      <c r="B598" s="17" t="s">
        <v>159</v>
      </c>
      <c r="C598" s="17" t="s">
        <v>125</v>
      </c>
      <c r="D598" s="17" t="s">
        <v>69</v>
      </c>
      <c r="E598" s="17" t="s">
        <v>18</v>
      </c>
      <c r="F598" s="17"/>
      <c r="G598" s="186">
        <v>33</v>
      </c>
      <c r="H598" s="215"/>
      <c r="I598" s="214"/>
      <c r="J598" s="214"/>
    </row>
    <row r="599" spans="1:10" s="21" customFormat="1" ht="12.75" hidden="1">
      <c r="A599" s="16" t="s">
        <v>21</v>
      </c>
      <c r="B599" s="17" t="s">
        <v>159</v>
      </c>
      <c r="C599" s="17" t="s">
        <v>125</v>
      </c>
      <c r="D599" s="17" t="s">
        <v>69</v>
      </c>
      <c r="E599" s="17" t="s">
        <v>19</v>
      </c>
      <c r="F599" s="17"/>
      <c r="G599" s="186">
        <f>SUM(G600:G601)</f>
        <v>11.2</v>
      </c>
      <c r="H599" s="215"/>
      <c r="I599" s="214"/>
      <c r="J599" s="214"/>
    </row>
    <row r="600" spans="1:10" s="21" customFormat="1" ht="25.5" hidden="1">
      <c r="A600" s="11" t="s">
        <v>20</v>
      </c>
      <c r="B600" s="4"/>
      <c r="C600" s="4"/>
      <c r="D600" s="4"/>
      <c r="E600" s="4"/>
      <c r="F600" s="4" t="s">
        <v>183</v>
      </c>
      <c r="G600" s="200">
        <v>11.2</v>
      </c>
      <c r="H600" s="215"/>
      <c r="I600" s="214"/>
      <c r="J600" s="214"/>
    </row>
    <row r="601" spans="1:10" s="21" customFormat="1" ht="38.25" hidden="1">
      <c r="A601" s="8" t="s">
        <v>22</v>
      </c>
      <c r="B601" s="4"/>
      <c r="C601" s="4"/>
      <c r="D601" s="4"/>
      <c r="E601" s="4"/>
      <c r="F601" s="4" t="s">
        <v>185</v>
      </c>
      <c r="G601" s="200"/>
      <c r="H601" s="215"/>
      <c r="I601" s="214"/>
      <c r="J601" s="214"/>
    </row>
    <row r="602" spans="1:10" s="21" customFormat="1" ht="12.75" hidden="1">
      <c r="A602" s="16" t="s">
        <v>23</v>
      </c>
      <c r="B602" s="17" t="s">
        <v>159</v>
      </c>
      <c r="C602" s="17" t="s">
        <v>125</v>
      </c>
      <c r="D602" s="17" t="s">
        <v>69</v>
      </c>
      <c r="E602" s="17" t="s">
        <v>24</v>
      </c>
      <c r="F602" s="17"/>
      <c r="G602" s="186">
        <f>SUM(G603:G605)</f>
        <v>0</v>
      </c>
      <c r="H602" s="215"/>
      <c r="I602" s="214"/>
      <c r="J602" s="214"/>
    </row>
    <row r="603" spans="1:10" s="21" customFormat="1" ht="17.25" customHeight="1" hidden="1">
      <c r="A603" s="7" t="s">
        <v>25</v>
      </c>
      <c r="B603" s="4"/>
      <c r="C603" s="4"/>
      <c r="D603" s="4"/>
      <c r="E603" s="4"/>
      <c r="F603" s="4" t="s">
        <v>186</v>
      </c>
      <c r="G603" s="200"/>
      <c r="H603" s="215"/>
      <c r="I603" s="214"/>
      <c r="J603" s="214"/>
    </row>
    <row r="604" spans="1:10" s="21" customFormat="1" ht="26.25" customHeight="1" hidden="1">
      <c r="A604" s="7" t="s">
        <v>26</v>
      </c>
      <c r="B604" s="4"/>
      <c r="C604" s="4"/>
      <c r="D604" s="4"/>
      <c r="E604" s="4"/>
      <c r="F604" s="4" t="s">
        <v>187</v>
      </c>
      <c r="G604" s="200"/>
      <c r="H604" s="215"/>
      <c r="I604" s="214"/>
      <c r="J604" s="214"/>
    </row>
    <row r="605" spans="1:10" s="21" customFormat="1" ht="12.75" hidden="1">
      <c r="A605" s="7" t="s">
        <v>27</v>
      </c>
      <c r="B605" s="4"/>
      <c r="C605" s="4"/>
      <c r="D605" s="4"/>
      <c r="E605" s="4"/>
      <c r="F605" s="4" t="s">
        <v>188</v>
      </c>
      <c r="G605" s="200"/>
      <c r="H605" s="215"/>
      <c r="I605" s="214"/>
      <c r="J605" s="214"/>
    </row>
    <row r="606" spans="1:10" s="21" customFormat="1" ht="16.5" customHeight="1" hidden="1">
      <c r="A606" s="16" t="s">
        <v>28</v>
      </c>
      <c r="B606" s="17" t="s">
        <v>159</v>
      </c>
      <c r="C606" s="17" t="s">
        <v>125</v>
      </c>
      <c r="D606" s="17" t="s">
        <v>69</v>
      </c>
      <c r="E606" s="17" t="s">
        <v>29</v>
      </c>
      <c r="F606" s="17"/>
      <c r="G606" s="186"/>
      <c r="H606" s="215"/>
      <c r="I606" s="214"/>
      <c r="J606" s="214"/>
    </row>
    <row r="607" spans="1:10" s="21" customFormat="1" ht="12.75" hidden="1">
      <c r="A607" s="16" t="s">
        <v>30</v>
      </c>
      <c r="B607" s="17" t="s">
        <v>159</v>
      </c>
      <c r="C607" s="17" t="s">
        <v>125</v>
      </c>
      <c r="D607" s="17" t="s">
        <v>69</v>
      </c>
      <c r="E607" s="17" t="s">
        <v>31</v>
      </c>
      <c r="F607" s="17"/>
      <c r="G607" s="186">
        <f>SUM(G608:G612)</f>
        <v>43</v>
      </c>
      <c r="H607" s="215"/>
      <c r="I607" s="214"/>
      <c r="J607" s="214"/>
    </row>
    <row r="608" spans="1:10" s="21" customFormat="1" ht="12.75" hidden="1">
      <c r="A608" s="7" t="s">
        <v>32</v>
      </c>
      <c r="B608" s="17"/>
      <c r="C608" s="17"/>
      <c r="D608" s="17"/>
      <c r="E608" s="17"/>
      <c r="F608" s="17" t="s">
        <v>189</v>
      </c>
      <c r="G608" s="186"/>
      <c r="H608" s="215"/>
      <c r="I608" s="214"/>
      <c r="J608" s="214"/>
    </row>
    <row r="609" spans="1:10" s="21" customFormat="1" ht="12.75" hidden="1">
      <c r="A609" s="7" t="s">
        <v>33</v>
      </c>
      <c r="B609" s="17"/>
      <c r="C609" s="17"/>
      <c r="D609" s="17"/>
      <c r="E609" s="17"/>
      <c r="F609" s="17" t="s">
        <v>191</v>
      </c>
      <c r="G609" s="186"/>
      <c r="H609" s="215"/>
      <c r="I609" s="214"/>
      <c r="J609" s="214"/>
    </row>
    <row r="610" spans="1:10" s="21" customFormat="1" ht="25.5" hidden="1">
      <c r="A610" s="7" t="s">
        <v>34</v>
      </c>
      <c r="B610" s="17"/>
      <c r="C610" s="17"/>
      <c r="D610" s="17"/>
      <c r="E610" s="17"/>
      <c r="F610" s="17" t="s">
        <v>221</v>
      </c>
      <c r="G610" s="186">
        <v>43</v>
      </c>
      <c r="H610" s="215"/>
      <c r="I610" s="214"/>
      <c r="J610" s="214"/>
    </row>
    <row r="611" spans="1:10" s="21" customFormat="1" ht="25.5" hidden="1">
      <c r="A611" s="7" t="s">
        <v>35</v>
      </c>
      <c r="B611" s="17"/>
      <c r="C611" s="17"/>
      <c r="D611" s="17"/>
      <c r="E611" s="17"/>
      <c r="F611" s="17" t="s">
        <v>190</v>
      </c>
      <c r="G611" s="186"/>
      <c r="H611" s="215"/>
      <c r="I611" s="214"/>
      <c r="J611" s="214"/>
    </row>
    <row r="612" spans="1:10" s="21" customFormat="1" ht="51" hidden="1">
      <c r="A612" s="7" t="s">
        <v>36</v>
      </c>
      <c r="B612" s="17"/>
      <c r="C612" s="17"/>
      <c r="D612" s="17"/>
      <c r="E612" s="17"/>
      <c r="F612" s="17" t="s">
        <v>190</v>
      </c>
      <c r="G612" s="186"/>
      <c r="H612" s="215"/>
      <c r="I612" s="214"/>
      <c r="J612" s="214"/>
    </row>
    <row r="613" spans="1:10" s="21" customFormat="1" ht="12.75" hidden="1">
      <c r="A613" s="16" t="s">
        <v>37</v>
      </c>
      <c r="B613" s="17" t="s">
        <v>159</v>
      </c>
      <c r="C613" s="17" t="s">
        <v>125</v>
      </c>
      <c r="D613" s="17" t="s">
        <v>69</v>
      </c>
      <c r="E613" s="17" t="s">
        <v>38</v>
      </c>
      <c r="F613" s="17"/>
      <c r="G613" s="186">
        <f>SUM(G614:G616)</f>
        <v>114.2</v>
      </c>
      <c r="H613" s="215"/>
      <c r="I613" s="214"/>
      <c r="J613" s="214"/>
    </row>
    <row r="614" spans="1:10" s="21" customFormat="1" ht="38.25" hidden="1">
      <c r="A614" s="11" t="s">
        <v>39</v>
      </c>
      <c r="B614" s="20"/>
      <c r="C614" s="20"/>
      <c r="D614" s="20"/>
      <c r="E614" s="20"/>
      <c r="F614" s="20" t="s">
        <v>183</v>
      </c>
      <c r="G614" s="214">
        <v>4.2</v>
      </c>
      <c r="H614" s="215"/>
      <c r="I614" s="214"/>
      <c r="J614" s="214"/>
    </row>
    <row r="615" spans="1:10" s="21" customFormat="1" ht="33.75" customHeight="1" hidden="1">
      <c r="A615" s="19" t="s">
        <v>40</v>
      </c>
      <c r="B615" s="20"/>
      <c r="C615" s="20"/>
      <c r="D615" s="20"/>
      <c r="E615" s="20"/>
      <c r="F615" s="20" t="s">
        <v>222</v>
      </c>
      <c r="G615" s="214"/>
      <c r="H615" s="215"/>
      <c r="I615" s="214"/>
      <c r="J615" s="214"/>
    </row>
    <row r="616" spans="1:10" s="21" customFormat="1" ht="25.5" hidden="1">
      <c r="A616" s="12" t="s">
        <v>41</v>
      </c>
      <c r="B616" s="20"/>
      <c r="C616" s="20"/>
      <c r="D616" s="20"/>
      <c r="E616" s="20"/>
      <c r="F616" s="20" t="s">
        <v>192</v>
      </c>
      <c r="G616" s="214">
        <v>110</v>
      </c>
      <c r="H616" s="215"/>
      <c r="I616" s="214"/>
      <c r="J616" s="214"/>
    </row>
    <row r="617" spans="1:10" s="45" customFormat="1" ht="12.75" hidden="1">
      <c r="A617" s="43" t="s">
        <v>42</v>
      </c>
      <c r="B617" s="44" t="s">
        <v>159</v>
      </c>
      <c r="C617" s="14" t="s">
        <v>125</v>
      </c>
      <c r="D617" s="44" t="s">
        <v>69</v>
      </c>
      <c r="E617" s="44" t="s">
        <v>43</v>
      </c>
      <c r="F617" s="44"/>
      <c r="G617" s="197">
        <f>SUM(G618)</f>
        <v>0</v>
      </c>
      <c r="H617" s="198"/>
      <c r="I617" s="197"/>
      <c r="J617" s="197"/>
    </row>
    <row r="618" spans="1:10" s="21" customFormat="1" ht="12.75" hidden="1">
      <c r="A618" s="16" t="s">
        <v>44</v>
      </c>
      <c r="B618" s="17" t="s">
        <v>159</v>
      </c>
      <c r="C618" s="17" t="s">
        <v>125</v>
      </c>
      <c r="D618" s="17" t="s">
        <v>69</v>
      </c>
      <c r="E618" s="17" t="s">
        <v>45</v>
      </c>
      <c r="F618" s="17"/>
      <c r="G618" s="186">
        <f>SUM(G619)</f>
        <v>0</v>
      </c>
      <c r="H618" s="215"/>
      <c r="I618" s="214"/>
      <c r="J618" s="214"/>
    </row>
    <row r="619" spans="1:10" s="21" customFormat="1" ht="12.75" hidden="1">
      <c r="A619" s="6" t="s">
        <v>46</v>
      </c>
      <c r="B619" s="20"/>
      <c r="C619" s="20"/>
      <c r="D619" s="20"/>
      <c r="E619" s="20"/>
      <c r="F619" s="20"/>
      <c r="G619" s="214"/>
      <c r="H619" s="215"/>
      <c r="I619" s="214"/>
      <c r="J619" s="214"/>
    </row>
    <row r="620" spans="1:10" s="45" customFormat="1" ht="12.75" hidden="1">
      <c r="A620" s="43" t="s">
        <v>47</v>
      </c>
      <c r="B620" s="44" t="s">
        <v>159</v>
      </c>
      <c r="C620" s="14" t="s">
        <v>125</v>
      </c>
      <c r="D620" s="44" t="s">
        <v>69</v>
      </c>
      <c r="E620" s="44" t="s">
        <v>48</v>
      </c>
      <c r="F620" s="44"/>
      <c r="G620" s="197">
        <f>SUM(G621)</f>
        <v>5</v>
      </c>
      <c r="H620" s="198"/>
      <c r="I620" s="197"/>
      <c r="J620" s="197"/>
    </row>
    <row r="621" spans="1:10" s="21" customFormat="1" ht="25.5" hidden="1">
      <c r="A621" s="12" t="s">
        <v>41</v>
      </c>
      <c r="B621" s="20"/>
      <c r="C621" s="20"/>
      <c r="D621" s="20"/>
      <c r="E621" s="20"/>
      <c r="F621" s="20"/>
      <c r="G621" s="214">
        <v>5</v>
      </c>
      <c r="H621" s="215"/>
      <c r="I621" s="214"/>
      <c r="J621" s="214"/>
    </row>
    <row r="622" spans="1:10" s="45" customFormat="1" ht="12.75" hidden="1">
      <c r="A622" s="43" t="s">
        <v>49</v>
      </c>
      <c r="B622" s="44" t="s">
        <v>159</v>
      </c>
      <c r="C622" s="14" t="s">
        <v>125</v>
      </c>
      <c r="D622" s="44" t="s">
        <v>69</v>
      </c>
      <c r="E622" s="44" t="s">
        <v>50</v>
      </c>
      <c r="F622" s="44"/>
      <c r="G622" s="197">
        <f>SUM(G623,G627)</f>
        <v>5</v>
      </c>
      <c r="H622" s="198"/>
      <c r="I622" s="197"/>
      <c r="J622" s="197"/>
    </row>
    <row r="623" spans="1:10" s="21" customFormat="1" ht="12.75" hidden="1">
      <c r="A623" s="16" t="s">
        <v>51</v>
      </c>
      <c r="B623" s="17" t="s">
        <v>159</v>
      </c>
      <c r="C623" s="17" t="s">
        <v>125</v>
      </c>
      <c r="D623" s="17" t="s">
        <v>69</v>
      </c>
      <c r="E623" s="17" t="s">
        <v>52</v>
      </c>
      <c r="F623" s="17"/>
      <c r="G623" s="186">
        <f>SUM(G624:G626)</f>
        <v>0</v>
      </c>
      <c r="H623" s="215"/>
      <c r="I623" s="214"/>
      <c r="J623" s="214"/>
    </row>
    <row r="624" spans="1:10" s="21" customFormat="1" ht="12.75" hidden="1">
      <c r="A624" s="7" t="s">
        <v>53</v>
      </c>
      <c r="B624" s="20"/>
      <c r="C624" s="20"/>
      <c r="D624" s="20"/>
      <c r="E624" s="20"/>
      <c r="F624" s="20" t="s">
        <v>223</v>
      </c>
      <c r="G624" s="214"/>
      <c r="H624" s="215"/>
      <c r="I624" s="214"/>
      <c r="J624" s="214"/>
    </row>
    <row r="625" spans="1:10" s="21" customFormat="1" ht="52.5" customHeight="1" hidden="1">
      <c r="A625" s="7" t="s">
        <v>54</v>
      </c>
      <c r="B625" s="20"/>
      <c r="C625" s="20"/>
      <c r="D625" s="20"/>
      <c r="E625" s="20"/>
      <c r="F625" s="20" t="s">
        <v>194</v>
      </c>
      <c r="G625" s="214"/>
      <c r="H625" s="215"/>
      <c r="I625" s="214"/>
      <c r="J625" s="214"/>
    </row>
    <row r="626" spans="1:10" s="21" customFormat="1" ht="51" customHeight="1" hidden="1">
      <c r="A626" s="7" t="s">
        <v>55</v>
      </c>
      <c r="B626" s="20"/>
      <c r="C626" s="20"/>
      <c r="D626" s="20"/>
      <c r="E626" s="20"/>
      <c r="F626" s="20" t="s">
        <v>193</v>
      </c>
      <c r="G626" s="214"/>
      <c r="H626" s="215"/>
      <c r="I626" s="214"/>
      <c r="J626" s="214"/>
    </row>
    <row r="627" spans="1:10" s="21" customFormat="1" ht="15.75" customHeight="1" hidden="1">
      <c r="A627" s="16" t="s">
        <v>56</v>
      </c>
      <c r="B627" s="17" t="s">
        <v>159</v>
      </c>
      <c r="C627" s="17" t="s">
        <v>125</v>
      </c>
      <c r="D627" s="17" t="s">
        <v>69</v>
      </c>
      <c r="E627" s="17" t="s">
        <v>57</v>
      </c>
      <c r="F627" s="17"/>
      <c r="G627" s="186">
        <f>SUM(G628:G631)</f>
        <v>5</v>
      </c>
      <c r="H627" s="215"/>
      <c r="I627" s="214"/>
      <c r="J627" s="214"/>
    </row>
    <row r="628" spans="1:10" s="21" customFormat="1" ht="25.5" hidden="1">
      <c r="A628" s="7" t="s">
        <v>58</v>
      </c>
      <c r="B628" s="20"/>
      <c r="C628" s="20"/>
      <c r="D628" s="20"/>
      <c r="E628" s="20"/>
      <c r="F628" s="20" t="s">
        <v>195</v>
      </c>
      <c r="G628" s="214"/>
      <c r="H628" s="215"/>
      <c r="I628" s="214"/>
      <c r="J628" s="214"/>
    </row>
    <row r="629" spans="1:10" s="21" customFormat="1" ht="12.75" hidden="1">
      <c r="A629" s="7" t="s">
        <v>59</v>
      </c>
      <c r="B629" s="20"/>
      <c r="C629" s="20"/>
      <c r="D629" s="20"/>
      <c r="E629" s="20"/>
      <c r="F629" s="20" t="s">
        <v>196</v>
      </c>
      <c r="G629" s="214"/>
      <c r="H629" s="215"/>
      <c r="I629" s="214"/>
      <c r="J629" s="214"/>
    </row>
    <row r="630" spans="1:10" s="21" customFormat="1" ht="9.75" customHeight="1" hidden="1">
      <c r="A630" s="7" t="s">
        <v>60</v>
      </c>
      <c r="B630" s="20"/>
      <c r="C630" s="20"/>
      <c r="D630" s="20"/>
      <c r="E630" s="20"/>
      <c r="F630" s="20" t="s">
        <v>197</v>
      </c>
      <c r="G630" s="214"/>
      <c r="H630" s="215"/>
      <c r="I630" s="214"/>
      <c r="J630" s="214"/>
    </row>
    <row r="631" spans="1:10" s="21" customFormat="1" ht="39" customHeight="1" hidden="1">
      <c r="A631" s="7" t="s">
        <v>61</v>
      </c>
      <c r="B631" s="20"/>
      <c r="C631" s="20"/>
      <c r="D631" s="20"/>
      <c r="E631" s="20"/>
      <c r="F631" s="20" t="s">
        <v>198</v>
      </c>
      <c r="G631" s="214">
        <v>5</v>
      </c>
      <c r="H631" s="215"/>
      <c r="I631" s="214"/>
      <c r="J631" s="214"/>
    </row>
    <row r="632" spans="1:10" s="21" customFormat="1" ht="12.75" hidden="1">
      <c r="A632" s="7"/>
      <c r="B632" s="20"/>
      <c r="C632" s="20"/>
      <c r="D632" s="20"/>
      <c r="E632" s="20"/>
      <c r="F632" s="20"/>
      <c r="G632" s="214"/>
      <c r="H632" s="215"/>
      <c r="I632" s="214"/>
      <c r="J632" s="214"/>
    </row>
    <row r="633" spans="1:10" s="21" customFormat="1" ht="12.75" hidden="1">
      <c r="A633" s="26" t="s">
        <v>75</v>
      </c>
      <c r="B633" s="24" t="s">
        <v>156</v>
      </c>
      <c r="C633" s="24" t="s">
        <v>88</v>
      </c>
      <c r="D633" s="24" t="s">
        <v>2</v>
      </c>
      <c r="E633" s="24"/>
      <c r="F633" s="24"/>
      <c r="G633" s="218">
        <f>SUM(G634,G642,G662,G666,G668)</f>
        <v>0</v>
      </c>
      <c r="H633" s="215"/>
      <c r="I633" s="214"/>
      <c r="J633" s="214"/>
    </row>
    <row r="634" spans="1:10" s="45" customFormat="1" ht="12.75" hidden="1">
      <c r="A634" s="43" t="s">
        <v>4</v>
      </c>
      <c r="B634" s="44" t="s">
        <v>156</v>
      </c>
      <c r="C634" s="44" t="s">
        <v>88</v>
      </c>
      <c r="D634" s="44" t="s">
        <v>2</v>
      </c>
      <c r="E634" s="44" t="s">
        <v>5</v>
      </c>
      <c r="F634" s="44"/>
      <c r="G634" s="197"/>
      <c r="H634" s="198"/>
      <c r="I634" s="197"/>
      <c r="J634" s="197"/>
    </row>
    <row r="635" spans="1:10" s="28" customFormat="1" ht="12.75" hidden="1">
      <c r="A635" s="87" t="s">
        <v>6</v>
      </c>
      <c r="B635" s="27" t="s">
        <v>156</v>
      </c>
      <c r="C635" s="27" t="s">
        <v>88</v>
      </c>
      <c r="D635" s="27" t="s">
        <v>2</v>
      </c>
      <c r="E635" s="27" t="s">
        <v>7</v>
      </c>
      <c r="F635" s="27"/>
      <c r="G635" s="201"/>
      <c r="H635" s="202"/>
      <c r="I635" s="201"/>
      <c r="J635" s="201"/>
    </row>
    <row r="636" spans="1:10" s="28" customFormat="1" ht="12.75" hidden="1">
      <c r="A636" s="87" t="s">
        <v>8</v>
      </c>
      <c r="B636" s="27" t="s">
        <v>156</v>
      </c>
      <c r="C636" s="27" t="s">
        <v>88</v>
      </c>
      <c r="D636" s="27" t="s">
        <v>2</v>
      </c>
      <c r="E636" s="27" t="s">
        <v>9</v>
      </c>
      <c r="F636" s="27"/>
      <c r="G636" s="201"/>
      <c r="H636" s="202"/>
      <c r="I636" s="201"/>
      <c r="J636" s="201"/>
    </row>
    <row r="637" spans="1:10" s="21" customFormat="1" ht="25.5" hidden="1">
      <c r="A637" s="11" t="s">
        <v>10</v>
      </c>
      <c r="B637" s="29"/>
      <c r="C637" s="29"/>
      <c r="D637" s="29"/>
      <c r="E637" s="4"/>
      <c r="F637" s="4" t="s">
        <v>183</v>
      </c>
      <c r="G637" s="186"/>
      <c r="H637" s="215"/>
      <c r="I637" s="214"/>
      <c r="J637" s="214"/>
    </row>
    <row r="638" spans="1:10" s="21" customFormat="1" ht="12.75" customHeight="1" hidden="1">
      <c r="A638" s="12" t="s">
        <v>11</v>
      </c>
      <c r="B638" s="29"/>
      <c r="C638" s="29"/>
      <c r="D638" s="29"/>
      <c r="E638" s="4"/>
      <c r="F638" s="4" t="s">
        <v>200</v>
      </c>
      <c r="G638" s="186"/>
      <c r="H638" s="215"/>
      <c r="I638" s="214"/>
      <c r="J638" s="214"/>
    </row>
    <row r="639" spans="1:10" s="30" customFormat="1" ht="12.75" hidden="1">
      <c r="A639" s="65" t="s">
        <v>130</v>
      </c>
      <c r="B639" s="29"/>
      <c r="C639" s="29"/>
      <c r="D639" s="29"/>
      <c r="E639" s="29"/>
      <c r="F639" s="29" t="s">
        <v>199</v>
      </c>
      <c r="G639" s="186"/>
      <c r="H639" s="205"/>
      <c r="I639" s="212"/>
      <c r="J639" s="212"/>
    </row>
    <row r="640" spans="1:10" s="21" customFormat="1" ht="25.5" hidden="1">
      <c r="A640" s="6" t="s">
        <v>12</v>
      </c>
      <c r="B640" s="29"/>
      <c r="C640" s="29"/>
      <c r="D640" s="29"/>
      <c r="E640" s="4"/>
      <c r="F640" s="4" t="s">
        <v>184</v>
      </c>
      <c r="G640" s="186"/>
      <c r="H640" s="215"/>
      <c r="I640" s="214"/>
      <c r="J640" s="214"/>
    </row>
    <row r="641" spans="1:10" s="28" customFormat="1" ht="12.75" hidden="1">
      <c r="A641" s="87" t="s">
        <v>13</v>
      </c>
      <c r="B641" s="27" t="s">
        <v>156</v>
      </c>
      <c r="C641" s="27" t="s">
        <v>88</v>
      </c>
      <c r="D641" s="27" t="s">
        <v>2</v>
      </c>
      <c r="E641" s="27" t="s">
        <v>14</v>
      </c>
      <c r="F641" s="17"/>
      <c r="G641" s="201"/>
      <c r="H641" s="202"/>
      <c r="I641" s="201"/>
      <c r="J641" s="201"/>
    </row>
    <row r="642" spans="1:10" s="45" customFormat="1" ht="12.75" hidden="1">
      <c r="A642" s="43" t="s">
        <v>15</v>
      </c>
      <c r="B642" s="50" t="s">
        <v>156</v>
      </c>
      <c r="C642" s="50" t="s">
        <v>88</v>
      </c>
      <c r="D642" s="50" t="s">
        <v>2</v>
      </c>
      <c r="E642" s="44" t="s">
        <v>16</v>
      </c>
      <c r="F642" s="44"/>
      <c r="G642" s="197"/>
      <c r="H642" s="198"/>
      <c r="I642" s="197"/>
      <c r="J642" s="197"/>
    </row>
    <row r="643" spans="1:10" s="28" customFormat="1" ht="12.75" hidden="1">
      <c r="A643" s="87" t="s">
        <v>17</v>
      </c>
      <c r="B643" s="27" t="s">
        <v>156</v>
      </c>
      <c r="C643" s="27" t="s">
        <v>88</v>
      </c>
      <c r="D643" s="27" t="s">
        <v>2</v>
      </c>
      <c r="E643" s="27" t="s">
        <v>18</v>
      </c>
      <c r="F643" s="17"/>
      <c r="G643" s="201"/>
      <c r="H643" s="202"/>
      <c r="I643" s="201"/>
      <c r="J643" s="201"/>
    </row>
    <row r="644" spans="1:10" s="28" customFormat="1" ht="12.75" hidden="1">
      <c r="A644" s="87" t="s">
        <v>21</v>
      </c>
      <c r="B644" s="27" t="s">
        <v>156</v>
      </c>
      <c r="C644" s="27" t="s">
        <v>88</v>
      </c>
      <c r="D644" s="27" t="s">
        <v>2</v>
      </c>
      <c r="E644" s="27" t="s">
        <v>19</v>
      </c>
      <c r="F644" s="17"/>
      <c r="G644" s="201"/>
      <c r="H644" s="202"/>
      <c r="I644" s="201"/>
      <c r="J644" s="201"/>
    </row>
    <row r="645" spans="1:10" s="21" customFormat="1" ht="24" customHeight="1" hidden="1">
      <c r="A645" s="11" t="s">
        <v>20</v>
      </c>
      <c r="B645" s="29"/>
      <c r="C645" s="29"/>
      <c r="D645" s="29"/>
      <c r="E645" s="4"/>
      <c r="F645" s="4" t="s">
        <v>183</v>
      </c>
      <c r="G645" s="186"/>
      <c r="H645" s="215"/>
      <c r="I645" s="214"/>
      <c r="J645" s="214"/>
    </row>
    <row r="646" spans="1:10" s="21" customFormat="1" ht="38.25" hidden="1">
      <c r="A646" s="8" t="s">
        <v>22</v>
      </c>
      <c r="B646" s="29"/>
      <c r="C646" s="29"/>
      <c r="D646" s="29"/>
      <c r="E646" s="4"/>
      <c r="F646" s="4" t="s">
        <v>185</v>
      </c>
      <c r="G646" s="186"/>
      <c r="H646" s="215"/>
      <c r="I646" s="214"/>
      <c r="J646" s="214"/>
    </row>
    <row r="647" spans="1:10" s="21" customFormat="1" ht="12.75" hidden="1">
      <c r="A647" s="16" t="s">
        <v>23</v>
      </c>
      <c r="B647" s="27" t="s">
        <v>156</v>
      </c>
      <c r="C647" s="27" t="s">
        <v>88</v>
      </c>
      <c r="D647" s="27" t="s">
        <v>2</v>
      </c>
      <c r="E647" s="17" t="s">
        <v>24</v>
      </c>
      <c r="F647" s="17"/>
      <c r="G647" s="186"/>
      <c r="H647" s="215"/>
      <c r="I647" s="214"/>
      <c r="J647" s="214"/>
    </row>
    <row r="648" spans="1:10" s="21" customFormat="1" ht="25.5" hidden="1">
      <c r="A648" s="7" t="s">
        <v>25</v>
      </c>
      <c r="B648" s="29"/>
      <c r="C648" s="29"/>
      <c r="D648" s="29"/>
      <c r="E648" s="4"/>
      <c r="F648" s="4" t="s">
        <v>186</v>
      </c>
      <c r="G648" s="186"/>
      <c r="H648" s="215"/>
      <c r="I648" s="214"/>
      <c r="J648" s="214"/>
    </row>
    <row r="649" spans="1:10" s="21" customFormat="1" ht="25.5" hidden="1">
      <c r="A649" s="7" t="s">
        <v>26</v>
      </c>
      <c r="B649" s="29"/>
      <c r="C649" s="29"/>
      <c r="D649" s="29"/>
      <c r="E649" s="4"/>
      <c r="F649" s="4" t="s">
        <v>187</v>
      </c>
      <c r="G649" s="186"/>
      <c r="H649" s="215"/>
      <c r="I649" s="214"/>
      <c r="J649" s="214"/>
    </row>
    <row r="650" spans="1:10" s="21" customFormat="1" ht="12.75" hidden="1">
      <c r="A650" s="7" t="s">
        <v>27</v>
      </c>
      <c r="B650" s="29"/>
      <c r="C650" s="29"/>
      <c r="D650" s="29"/>
      <c r="E650" s="4"/>
      <c r="F650" s="4" t="s">
        <v>188</v>
      </c>
      <c r="G650" s="186"/>
      <c r="H650" s="215"/>
      <c r="I650" s="214"/>
      <c r="J650" s="214"/>
    </row>
    <row r="651" spans="1:10" s="28" customFormat="1" ht="12.75" hidden="1">
      <c r="A651" s="87" t="s">
        <v>28</v>
      </c>
      <c r="B651" s="27" t="s">
        <v>156</v>
      </c>
      <c r="C651" s="27" t="s">
        <v>88</v>
      </c>
      <c r="D651" s="27" t="s">
        <v>2</v>
      </c>
      <c r="E651" s="27" t="s">
        <v>29</v>
      </c>
      <c r="F651" s="17"/>
      <c r="G651" s="201"/>
      <c r="H651" s="202"/>
      <c r="I651" s="201"/>
      <c r="J651" s="201"/>
    </row>
    <row r="652" spans="1:10" s="28" customFormat="1" ht="12.75" hidden="1">
      <c r="A652" s="87" t="s">
        <v>30</v>
      </c>
      <c r="B652" s="27" t="s">
        <v>156</v>
      </c>
      <c r="C652" s="27" t="s">
        <v>88</v>
      </c>
      <c r="D652" s="27" t="s">
        <v>2</v>
      </c>
      <c r="E652" s="27" t="s">
        <v>31</v>
      </c>
      <c r="F652" s="17"/>
      <c r="G652" s="201"/>
      <c r="H652" s="202"/>
      <c r="I652" s="201"/>
      <c r="J652" s="201"/>
    </row>
    <row r="653" spans="1:10" s="21" customFormat="1" ht="12.75" hidden="1">
      <c r="A653" s="7" t="s">
        <v>32</v>
      </c>
      <c r="B653" s="29"/>
      <c r="C653" s="29"/>
      <c r="D653" s="29"/>
      <c r="E653" s="17"/>
      <c r="F653" s="17" t="s">
        <v>189</v>
      </c>
      <c r="G653" s="186"/>
      <c r="H653" s="215"/>
      <c r="I653" s="214"/>
      <c r="J653" s="214"/>
    </row>
    <row r="654" spans="1:10" s="21" customFormat="1" ht="12" customHeight="1" hidden="1">
      <c r="A654" s="7" t="s">
        <v>33</v>
      </c>
      <c r="B654" s="29"/>
      <c r="C654" s="29"/>
      <c r="D654" s="29"/>
      <c r="E654" s="17"/>
      <c r="F654" s="17" t="s">
        <v>191</v>
      </c>
      <c r="G654" s="186"/>
      <c r="H654" s="215"/>
      <c r="I654" s="214"/>
      <c r="J654" s="214"/>
    </row>
    <row r="655" spans="1:10" s="21" customFormat="1" ht="25.5" hidden="1">
      <c r="A655" s="7" t="s">
        <v>34</v>
      </c>
      <c r="B655" s="29"/>
      <c r="C655" s="29"/>
      <c r="D655" s="29"/>
      <c r="E655" s="17"/>
      <c r="F655" s="17" t="s">
        <v>221</v>
      </c>
      <c r="G655" s="186"/>
      <c r="H655" s="215"/>
      <c r="I655" s="214"/>
      <c r="J655" s="214"/>
    </row>
    <row r="656" spans="1:10" s="21" customFormat="1" ht="25.5" hidden="1">
      <c r="A656" s="7" t="s">
        <v>35</v>
      </c>
      <c r="B656" s="29"/>
      <c r="C656" s="29"/>
      <c r="D656" s="29"/>
      <c r="E656" s="17"/>
      <c r="F656" s="17" t="s">
        <v>190</v>
      </c>
      <c r="G656" s="186"/>
      <c r="H656" s="215"/>
      <c r="I656" s="214"/>
      <c r="J656" s="214"/>
    </row>
    <row r="657" spans="1:10" s="21" customFormat="1" ht="51" hidden="1">
      <c r="A657" s="7" t="s">
        <v>36</v>
      </c>
      <c r="B657" s="29"/>
      <c r="C657" s="29"/>
      <c r="D657" s="29"/>
      <c r="E657" s="17"/>
      <c r="F657" s="17" t="s">
        <v>190</v>
      </c>
      <c r="G657" s="186"/>
      <c r="H657" s="215"/>
      <c r="I657" s="214"/>
      <c r="J657" s="214"/>
    </row>
    <row r="658" spans="1:10" s="28" customFormat="1" ht="12.75" hidden="1">
      <c r="A658" s="87" t="s">
        <v>37</v>
      </c>
      <c r="B658" s="27" t="s">
        <v>156</v>
      </c>
      <c r="C658" s="27" t="s">
        <v>88</v>
      </c>
      <c r="D658" s="27" t="s">
        <v>2</v>
      </c>
      <c r="E658" s="27" t="s">
        <v>38</v>
      </c>
      <c r="F658" s="17"/>
      <c r="G658" s="201"/>
      <c r="H658" s="202"/>
      <c r="I658" s="201"/>
      <c r="J658" s="201"/>
    </row>
    <row r="659" spans="1:10" s="21" customFormat="1" ht="38.25" hidden="1">
      <c r="A659" s="11" t="s">
        <v>39</v>
      </c>
      <c r="B659" s="29"/>
      <c r="C659" s="29"/>
      <c r="D659" s="29"/>
      <c r="E659" s="20"/>
      <c r="F659" s="20" t="s">
        <v>183</v>
      </c>
      <c r="G659" s="186"/>
      <c r="H659" s="215"/>
      <c r="I659" s="214"/>
      <c r="J659" s="214"/>
    </row>
    <row r="660" spans="1:10" s="21" customFormat="1" ht="38.25" hidden="1">
      <c r="A660" s="19" t="s">
        <v>40</v>
      </c>
      <c r="B660" s="29"/>
      <c r="C660" s="29"/>
      <c r="D660" s="29"/>
      <c r="E660" s="20"/>
      <c r="F660" s="20" t="s">
        <v>222</v>
      </c>
      <c r="G660" s="186"/>
      <c r="H660" s="215"/>
      <c r="I660" s="214"/>
      <c r="J660" s="214"/>
    </row>
    <row r="661" spans="1:10" s="21" customFormat="1" ht="25.5" hidden="1">
      <c r="A661" s="12" t="s">
        <v>41</v>
      </c>
      <c r="B661" s="29"/>
      <c r="C661" s="29"/>
      <c r="D661" s="29"/>
      <c r="E661" s="20"/>
      <c r="F661" s="20" t="s">
        <v>192</v>
      </c>
      <c r="G661" s="186"/>
      <c r="H661" s="215"/>
      <c r="I661" s="214"/>
      <c r="J661" s="214"/>
    </row>
    <row r="662" spans="1:10" s="45" customFormat="1" ht="12.75" hidden="1">
      <c r="A662" s="43" t="s">
        <v>42</v>
      </c>
      <c r="B662" s="44" t="s">
        <v>156</v>
      </c>
      <c r="C662" s="44" t="s">
        <v>88</v>
      </c>
      <c r="D662" s="44" t="s">
        <v>2</v>
      </c>
      <c r="E662" s="44" t="s">
        <v>43</v>
      </c>
      <c r="F662" s="44"/>
      <c r="G662" s="197"/>
      <c r="H662" s="198"/>
      <c r="I662" s="197"/>
      <c r="J662" s="197"/>
    </row>
    <row r="663" spans="1:10" s="28" customFormat="1" ht="12.75" hidden="1">
      <c r="A663" s="87" t="s">
        <v>44</v>
      </c>
      <c r="B663" s="27" t="s">
        <v>156</v>
      </c>
      <c r="C663" s="27" t="s">
        <v>88</v>
      </c>
      <c r="D663" s="27" t="s">
        <v>2</v>
      </c>
      <c r="E663" s="27" t="s">
        <v>45</v>
      </c>
      <c r="F663" s="17"/>
      <c r="G663" s="201"/>
      <c r="H663" s="202"/>
      <c r="I663" s="201"/>
      <c r="J663" s="201"/>
    </row>
    <row r="664" spans="1:10" s="21" customFormat="1" ht="12.75" hidden="1">
      <c r="A664" s="6" t="s">
        <v>46</v>
      </c>
      <c r="B664" s="29"/>
      <c r="C664" s="29"/>
      <c r="D664" s="29"/>
      <c r="E664" s="20"/>
      <c r="F664" s="20"/>
      <c r="G664" s="214"/>
      <c r="H664" s="215"/>
      <c r="I664" s="214"/>
      <c r="J664" s="214"/>
    </row>
    <row r="665" spans="1:10" s="28" customFormat="1" ht="12.75" hidden="1">
      <c r="A665" s="64" t="s">
        <v>129</v>
      </c>
      <c r="B665" s="27"/>
      <c r="C665" s="27"/>
      <c r="D665" s="27"/>
      <c r="E665" s="27"/>
      <c r="F665" s="20" t="s">
        <v>209</v>
      </c>
      <c r="G665" s="201"/>
      <c r="H665" s="202"/>
      <c r="I665" s="201"/>
      <c r="J665" s="201"/>
    </row>
    <row r="666" spans="1:10" s="45" customFormat="1" ht="12.75" hidden="1">
      <c r="A666" s="43" t="s">
        <v>47</v>
      </c>
      <c r="B666" s="44" t="s">
        <v>156</v>
      </c>
      <c r="C666" s="44" t="s">
        <v>88</v>
      </c>
      <c r="D666" s="44" t="s">
        <v>2</v>
      </c>
      <c r="E666" s="44" t="s">
        <v>48</v>
      </c>
      <c r="F666" s="44"/>
      <c r="G666" s="197"/>
      <c r="H666" s="198"/>
      <c r="I666" s="197"/>
      <c r="J666" s="197"/>
    </row>
    <row r="667" spans="1:10" s="21" customFormat="1" ht="25.5" hidden="1">
      <c r="A667" s="12" t="s">
        <v>41</v>
      </c>
      <c r="B667" s="29"/>
      <c r="C667" s="29"/>
      <c r="D667" s="29"/>
      <c r="E667" s="20"/>
      <c r="F667" s="20"/>
      <c r="G667" s="214"/>
      <c r="H667" s="215"/>
      <c r="I667" s="214"/>
      <c r="J667" s="214"/>
    </row>
    <row r="668" spans="1:10" s="45" customFormat="1" ht="12.75" hidden="1">
      <c r="A668" s="43" t="s">
        <v>49</v>
      </c>
      <c r="B668" s="44" t="s">
        <v>156</v>
      </c>
      <c r="C668" s="44" t="s">
        <v>88</v>
      </c>
      <c r="D668" s="44" t="s">
        <v>2</v>
      </c>
      <c r="E668" s="44" t="s">
        <v>50</v>
      </c>
      <c r="F668" s="44"/>
      <c r="G668" s="197"/>
      <c r="H668" s="198"/>
      <c r="I668" s="197"/>
      <c r="J668" s="197"/>
    </row>
    <row r="669" spans="1:10" s="28" customFormat="1" ht="12" customHeight="1" hidden="1">
      <c r="A669" s="87" t="s">
        <v>51</v>
      </c>
      <c r="B669" s="27" t="s">
        <v>156</v>
      </c>
      <c r="C669" s="27" t="s">
        <v>88</v>
      </c>
      <c r="D669" s="27" t="s">
        <v>2</v>
      </c>
      <c r="E669" s="27" t="s">
        <v>52</v>
      </c>
      <c r="F669" s="17"/>
      <c r="G669" s="201"/>
      <c r="H669" s="202"/>
      <c r="I669" s="201"/>
      <c r="J669" s="201"/>
    </row>
    <row r="670" spans="1:10" s="21" customFormat="1" ht="12.75" hidden="1">
      <c r="A670" s="7" t="s">
        <v>53</v>
      </c>
      <c r="B670" s="29"/>
      <c r="C670" s="29"/>
      <c r="D670" s="29"/>
      <c r="E670" s="20"/>
      <c r="F670" s="20" t="s">
        <v>223</v>
      </c>
      <c r="G670" s="214"/>
      <c r="H670" s="215"/>
      <c r="I670" s="214"/>
      <c r="J670" s="214"/>
    </row>
    <row r="671" spans="1:10" s="21" customFormat="1" ht="37.5" customHeight="1" hidden="1">
      <c r="A671" s="7" t="s">
        <v>54</v>
      </c>
      <c r="B671" s="29"/>
      <c r="C671" s="29"/>
      <c r="D671" s="29"/>
      <c r="E671" s="20"/>
      <c r="F671" s="20" t="s">
        <v>194</v>
      </c>
      <c r="G671" s="214"/>
      <c r="H671" s="215"/>
      <c r="I671" s="214"/>
      <c r="J671" s="214"/>
    </row>
    <row r="672" spans="1:10" s="21" customFormat="1" ht="51" hidden="1">
      <c r="A672" s="7" t="s">
        <v>55</v>
      </c>
      <c r="B672" s="29"/>
      <c r="C672" s="29"/>
      <c r="D672" s="29"/>
      <c r="E672" s="20"/>
      <c r="F672" s="20" t="s">
        <v>193</v>
      </c>
      <c r="G672" s="214"/>
      <c r="H672" s="215"/>
      <c r="I672" s="214"/>
      <c r="J672" s="214"/>
    </row>
    <row r="673" spans="1:10" s="21" customFormat="1" ht="12.75" hidden="1">
      <c r="A673" s="16" t="s">
        <v>56</v>
      </c>
      <c r="B673" s="27" t="s">
        <v>156</v>
      </c>
      <c r="C673" s="27" t="s">
        <v>88</v>
      </c>
      <c r="D673" s="27" t="s">
        <v>2</v>
      </c>
      <c r="E673" s="17" t="s">
        <v>57</v>
      </c>
      <c r="F673" s="17"/>
      <c r="G673" s="186"/>
      <c r="H673" s="215"/>
      <c r="I673" s="214"/>
      <c r="J673" s="214"/>
    </row>
    <row r="674" spans="1:10" s="21" customFormat="1" ht="25.5" hidden="1">
      <c r="A674" s="7" t="s">
        <v>58</v>
      </c>
      <c r="B674" s="29"/>
      <c r="C674" s="29"/>
      <c r="D674" s="29"/>
      <c r="E674" s="20"/>
      <c r="F674" s="20" t="s">
        <v>195</v>
      </c>
      <c r="G674" s="214"/>
      <c r="H674" s="215"/>
      <c r="I674" s="214"/>
      <c r="J674" s="214"/>
    </row>
    <row r="675" spans="1:10" s="21" customFormat="1" ht="12.75" hidden="1">
      <c r="A675" s="7" t="s">
        <v>59</v>
      </c>
      <c r="B675" s="29"/>
      <c r="C675" s="29"/>
      <c r="D675" s="29"/>
      <c r="E675" s="20"/>
      <c r="F675" s="20" t="s">
        <v>196</v>
      </c>
      <c r="G675" s="214"/>
      <c r="H675" s="215"/>
      <c r="I675" s="214"/>
      <c r="J675" s="214"/>
    </row>
    <row r="676" spans="1:10" s="21" customFormat="1" ht="12.75" hidden="1">
      <c r="A676" s="7" t="s">
        <v>60</v>
      </c>
      <c r="B676" s="29"/>
      <c r="C676" s="29"/>
      <c r="D676" s="29"/>
      <c r="E676" s="20"/>
      <c r="F676" s="20" t="s">
        <v>197</v>
      </c>
      <c r="G676" s="214"/>
      <c r="H676" s="215"/>
      <c r="I676" s="214"/>
      <c r="J676" s="214"/>
    </row>
    <row r="677" spans="1:10" s="21" customFormat="1" ht="38.25" customHeight="1" hidden="1">
      <c r="A677" s="7" t="s">
        <v>61</v>
      </c>
      <c r="B677" s="29"/>
      <c r="C677" s="29"/>
      <c r="D677" s="29"/>
      <c r="E677" s="20"/>
      <c r="F677" s="20" t="s">
        <v>198</v>
      </c>
      <c r="G677" s="214"/>
      <c r="H677" s="215"/>
      <c r="I677" s="214"/>
      <c r="J677" s="214"/>
    </row>
    <row r="678" spans="1:10" s="21" customFormat="1" ht="12.75" hidden="1">
      <c r="A678" s="7"/>
      <c r="B678" s="20"/>
      <c r="C678" s="20"/>
      <c r="D678" s="20"/>
      <c r="E678" s="20"/>
      <c r="F678" s="20"/>
      <c r="G678" s="214"/>
      <c r="H678" s="215"/>
      <c r="I678" s="214"/>
      <c r="J678" s="214"/>
    </row>
    <row r="679" spans="1:10" s="21" customFormat="1" ht="30" customHeight="1">
      <c r="A679" s="49" t="s">
        <v>76</v>
      </c>
      <c r="B679" s="48" t="s">
        <v>160</v>
      </c>
      <c r="C679" s="48" t="s">
        <v>88</v>
      </c>
      <c r="D679" s="48" t="s">
        <v>2</v>
      </c>
      <c r="E679" s="160"/>
      <c r="F679" s="160"/>
      <c r="G679" s="222">
        <f>G766+G769</f>
        <v>397000</v>
      </c>
      <c r="H679" s="196">
        <f>H766+H769</f>
        <v>412383.75</v>
      </c>
      <c r="I679" s="222">
        <f>I766+I769</f>
        <v>-15383.75</v>
      </c>
      <c r="J679" s="222">
        <f>J766+J769</f>
        <v>0</v>
      </c>
    </row>
    <row r="680" spans="1:10" s="21" customFormat="1" ht="25.5" hidden="1">
      <c r="A680" s="26" t="s">
        <v>77</v>
      </c>
      <c r="B680" s="24" t="s">
        <v>161</v>
      </c>
      <c r="C680" s="24" t="s">
        <v>126</v>
      </c>
      <c r="D680" s="24" t="s">
        <v>69</v>
      </c>
      <c r="E680" s="24"/>
      <c r="F680" s="24"/>
      <c r="G680" s="196"/>
      <c r="H680" s="215"/>
      <c r="I680" s="214"/>
      <c r="J680" s="214"/>
    </row>
    <row r="681" spans="1:10" s="45" customFormat="1" ht="16.5" customHeight="1" hidden="1">
      <c r="A681" s="43" t="s">
        <v>4</v>
      </c>
      <c r="B681" s="44" t="s">
        <v>161</v>
      </c>
      <c r="C681" s="44" t="s">
        <v>126</v>
      </c>
      <c r="D681" s="44" t="s">
        <v>69</v>
      </c>
      <c r="E681" s="44" t="s">
        <v>5</v>
      </c>
      <c r="F681" s="44"/>
      <c r="G681" s="197"/>
      <c r="H681" s="198"/>
      <c r="I681" s="197"/>
      <c r="J681" s="197"/>
    </row>
    <row r="682" spans="1:10" s="28" customFormat="1" ht="12.75" hidden="1">
      <c r="A682" s="87" t="s">
        <v>6</v>
      </c>
      <c r="B682" s="27" t="s">
        <v>161</v>
      </c>
      <c r="C682" s="27" t="s">
        <v>126</v>
      </c>
      <c r="D682" s="27" t="s">
        <v>69</v>
      </c>
      <c r="E682" s="27" t="s">
        <v>7</v>
      </c>
      <c r="F682" s="27"/>
      <c r="G682" s="201"/>
      <c r="H682" s="202"/>
      <c r="I682" s="201"/>
      <c r="J682" s="201"/>
    </row>
    <row r="683" spans="1:10" s="28" customFormat="1" ht="12.75" hidden="1">
      <c r="A683" s="87" t="s">
        <v>8</v>
      </c>
      <c r="B683" s="27" t="s">
        <v>161</v>
      </c>
      <c r="C683" s="27" t="s">
        <v>126</v>
      </c>
      <c r="D683" s="27" t="s">
        <v>69</v>
      </c>
      <c r="E683" s="27" t="s">
        <v>9</v>
      </c>
      <c r="F683" s="27"/>
      <c r="G683" s="201"/>
      <c r="H683" s="202"/>
      <c r="I683" s="201"/>
      <c r="J683" s="201"/>
    </row>
    <row r="684" spans="1:10" s="21" customFormat="1" ht="25.5" hidden="1">
      <c r="A684" s="11" t="s">
        <v>10</v>
      </c>
      <c r="B684" s="4"/>
      <c r="C684" s="4"/>
      <c r="D684" s="4"/>
      <c r="E684" s="4"/>
      <c r="F684" s="4" t="s">
        <v>183</v>
      </c>
      <c r="G684" s="200"/>
      <c r="H684" s="215"/>
      <c r="I684" s="214"/>
      <c r="J684" s="214"/>
    </row>
    <row r="685" spans="1:10" s="21" customFormat="1" ht="14.25" customHeight="1" hidden="1">
      <c r="A685" s="12" t="s">
        <v>11</v>
      </c>
      <c r="B685" s="4"/>
      <c r="C685" s="4"/>
      <c r="D685" s="4"/>
      <c r="E685" s="4"/>
      <c r="F685" s="4" t="s">
        <v>200</v>
      </c>
      <c r="G685" s="200"/>
      <c r="H685" s="215"/>
      <c r="I685" s="214"/>
      <c r="J685" s="214"/>
    </row>
    <row r="686" spans="1:10" s="21" customFormat="1" ht="25.5" hidden="1">
      <c r="A686" s="6" t="s">
        <v>12</v>
      </c>
      <c r="B686" s="4"/>
      <c r="C686" s="4"/>
      <c r="D686" s="4"/>
      <c r="E686" s="4"/>
      <c r="F686" s="4" t="s">
        <v>184</v>
      </c>
      <c r="G686" s="200"/>
      <c r="H686" s="215"/>
      <c r="I686" s="214"/>
      <c r="J686" s="214"/>
    </row>
    <row r="687" spans="1:10" s="28" customFormat="1" ht="12.75" hidden="1">
      <c r="A687" s="87" t="s">
        <v>13</v>
      </c>
      <c r="B687" s="27" t="s">
        <v>161</v>
      </c>
      <c r="C687" s="27" t="s">
        <v>126</v>
      </c>
      <c r="D687" s="27" t="s">
        <v>69</v>
      </c>
      <c r="E687" s="27" t="s">
        <v>14</v>
      </c>
      <c r="F687" s="27"/>
      <c r="G687" s="201"/>
      <c r="H687" s="202"/>
      <c r="I687" s="201"/>
      <c r="J687" s="201"/>
    </row>
    <row r="688" spans="1:10" s="45" customFormat="1" ht="12.75" hidden="1">
      <c r="A688" s="43" t="s">
        <v>15</v>
      </c>
      <c r="B688" s="44" t="s">
        <v>161</v>
      </c>
      <c r="C688" s="44" t="s">
        <v>126</v>
      </c>
      <c r="D688" s="44" t="s">
        <v>69</v>
      </c>
      <c r="E688" s="44" t="s">
        <v>16</v>
      </c>
      <c r="F688" s="44"/>
      <c r="G688" s="197"/>
      <c r="H688" s="198"/>
      <c r="I688" s="197"/>
      <c r="J688" s="197"/>
    </row>
    <row r="689" spans="1:10" s="28" customFormat="1" ht="12.75" hidden="1">
      <c r="A689" s="87" t="s">
        <v>17</v>
      </c>
      <c r="B689" s="27" t="s">
        <v>161</v>
      </c>
      <c r="C689" s="27" t="s">
        <v>126</v>
      </c>
      <c r="D689" s="27" t="s">
        <v>69</v>
      </c>
      <c r="E689" s="27" t="s">
        <v>18</v>
      </c>
      <c r="F689" s="27"/>
      <c r="G689" s="201"/>
      <c r="H689" s="202"/>
      <c r="I689" s="201"/>
      <c r="J689" s="201"/>
    </row>
    <row r="690" spans="1:10" s="28" customFormat="1" ht="12.75" hidden="1">
      <c r="A690" s="87" t="s">
        <v>21</v>
      </c>
      <c r="B690" s="27" t="s">
        <v>161</v>
      </c>
      <c r="C690" s="27" t="s">
        <v>126</v>
      </c>
      <c r="D690" s="27" t="s">
        <v>69</v>
      </c>
      <c r="E690" s="27" t="s">
        <v>19</v>
      </c>
      <c r="F690" s="27"/>
      <c r="G690" s="201"/>
      <c r="H690" s="202"/>
      <c r="I690" s="201"/>
      <c r="J690" s="201"/>
    </row>
    <row r="691" spans="1:10" s="21" customFormat="1" ht="25.5" hidden="1">
      <c r="A691" s="11" t="s">
        <v>20</v>
      </c>
      <c r="B691" s="4"/>
      <c r="C691" s="4"/>
      <c r="D691" s="4"/>
      <c r="E691" s="4"/>
      <c r="F691" s="4" t="s">
        <v>183</v>
      </c>
      <c r="G691" s="200"/>
      <c r="H691" s="215"/>
      <c r="I691" s="214"/>
      <c r="J691" s="214"/>
    </row>
    <row r="692" spans="1:10" s="21" customFormat="1" ht="38.25" hidden="1">
      <c r="A692" s="8" t="s">
        <v>22</v>
      </c>
      <c r="B692" s="4"/>
      <c r="C692" s="4"/>
      <c r="D692" s="4"/>
      <c r="E692" s="4"/>
      <c r="F692" s="4" t="s">
        <v>185</v>
      </c>
      <c r="G692" s="200"/>
      <c r="H692" s="215"/>
      <c r="I692" s="214"/>
      <c r="J692" s="214"/>
    </row>
    <row r="693" spans="1:10" s="28" customFormat="1" ht="12.75" hidden="1">
      <c r="A693" s="87" t="s">
        <v>23</v>
      </c>
      <c r="B693" s="27" t="s">
        <v>161</v>
      </c>
      <c r="C693" s="27" t="s">
        <v>126</v>
      </c>
      <c r="D693" s="27" t="s">
        <v>69</v>
      </c>
      <c r="E693" s="27" t="s">
        <v>24</v>
      </c>
      <c r="F693" s="27"/>
      <c r="G693" s="201"/>
      <c r="H693" s="202"/>
      <c r="I693" s="201"/>
      <c r="J693" s="201"/>
    </row>
    <row r="694" spans="1:10" s="21" customFormat="1" ht="25.5" hidden="1">
      <c r="A694" s="7" t="s">
        <v>25</v>
      </c>
      <c r="B694" s="4"/>
      <c r="C694" s="4"/>
      <c r="D694" s="4"/>
      <c r="E694" s="4"/>
      <c r="F694" s="4" t="s">
        <v>186</v>
      </c>
      <c r="G694" s="200"/>
      <c r="H694" s="215"/>
      <c r="I694" s="214"/>
      <c r="J694" s="214"/>
    </row>
    <row r="695" spans="1:10" s="21" customFormat="1" ht="25.5" customHeight="1" hidden="1">
      <c r="A695" s="7" t="s">
        <v>26</v>
      </c>
      <c r="B695" s="4"/>
      <c r="C695" s="4"/>
      <c r="D695" s="4"/>
      <c r="E695" s="4"/>
      <c r="F695" s="4" t="s">
        <v>187</v>
      </c>
      <c r="G695" s="200"/>
      <c r="H695" s="215"/>
      <c r="I695" s="214"/>
      <c r="J695" s="214"/>
    </row>
    <row r="696" spans="1:10" s="21" customFormat="1" ht="12.75" hidden="1">
      <c r="A696" s="7" t="s">
        <v>27</v>
      </c>
      <c r="B696" s="4"/>
      <c r="C696" s="4"/>
      <c r="D696" s="4"/>
      <c r="E696" s="4"/>
      <c r="F696" s="4" t="s">
        <v>188</v>
      </c>
      <c r="G696" s="200"/>
      <c r="H696" s="215"/>
      <c r="I696" s="214"/>
      <c r="J696" s="214"/>
    </row>
    <row r="697" spans="1:10" s="28" customFormat="1" ht="13.5" customHeight="1" hidden="1">
      <c r="A697" s="87" t="s">
        <v>28</v>
      </c>
      <c r="B697" s="27" t="s">
        <v>161</v>
      </c>
      <c r="C697" s="27" t="s">
        <v>126</v>
      </c>
      <c r="D697" s="27" t="s">
        <v>69</v>
      </c>
      <c r="E697" s="27" t="s">
        <v>29</v>
      </c>
      <c r="F697" s="27"/>
      <c r="G697" s="201"/>
      <c r="H697" s="202"/>
      <c r="I697" s="201"/>
      <c r="J697" s="201"/>
    </row>
    <row r="698" spans="1:10" s="28" customFormat="1" ht="12.75" hidden="1">
      <c r="A698" s="87" t="s">
        <v>30</v>
      </c>
      <c r="B698" s="27" t="s">
        <v>161</v>
      </c>
      <c r="C698" s="27" t="s">
        <v>126</v>
      </c>
      <c r="D698" s="27" t="s">
        <v>69</v>
      </c>
      <c r="E698" s="27" t="s">
        <v>31</v>
      </c>
      <c r="F698" s="27"/>
      <c r="G698" s="201"/>
      <c r="H698" s="202"/>
      <c r="I698" s="201"/>
      <c r="J698" s="201"/>
    </row>
    <row r="699" spans="1:10" s="21" customFormat="1" ht="12.75" hidden="1">
      <c r="A699" s="7" t="s">
        <v>32</v>
      </c>
      <c r="B699" s="17"/>
      <c r="C699" s="17"/>
      <c r="D699" s="17"/>
      <c r="E699" s="17"/>
      <c r="F699" s="17" t="s">
        <v>189</v>
      </c>
      <c r="G699" s="186"/>
      <c r="H699" s="215"/>
      <c r="I699" s="214"/>
      <c r="J699" s="214"/>
    </row>
    <row r="700" spans="1:10" s="21" customFormat="1" ht="12.75" hidden="1">
      <c r="A700" s="7" t="s">
        <v>33</v>
      </c>
      <c r="B700" s="17"/>
      <c r="C700" s="17"/>
      <c r="D700" s="17"/>
      <c r="E700" s="17"/>
      <c r="F700" s="17" t="s">
        <v>191</v>
      </c>
      <c r="G700" s="186"/>
      <c r="H700" s="215"/>
      <c r="I700" s="214"/>
      <c r="J700" s="214"/>
    </row>
    <row r="701" spans="1:10" s="21" customFormat="1" ht="25.5" hidden="1">
      <c r="A701" s="7" t="s">
        <v>34</v>
      </c>
      <c r="B701" s="17"/>
      <c r="C701" s="17"/>
      <c r="D701" s="17"/>
      <c r="E701" s="17"/>
      <c r="F701" s="17" t="s">
        <v>221</v>
      </c>
      <c r="G701" s="186"/>
      <c r="H701" s="215"/>
      <c r="I701" s="214"/>
      <c r="J701" s="214"/>
    </row>
    <row r="702" spans="1:10" s="21" customFormat="1" ht="25.5" hidden="1">
      <c r="A702" s="7" t="s">
        <v>35</v>
      </c>
      <c r="B702" s="17"/>
      <c r="C702" s="17"/>
      <c r="D702" s="17"/>
      <c r="E702" s="17"/>
      <c r="F702" s="17" t="s">
        <v>190</v>
      </c>
      <c r="G702" s="186"/>
      <c r="H702" s="215"/>
      <c r="I702" s="214"/>
      <c r="J702" s="214"/>
    </row>
    <row r="703" spans="1:10" s="21" customFormat="1" ht="51" hidden="1">
      <c r="A703" s="7" t="s">
        <v>36</v>
      </c>
      <c r="B703" s="17"/>
      <c r="C703" s="17"/>
      <c r="D703" s="17"/>
      <c r="E703" s="17"/>
      <c r="F703" s="17" t="s">
        <v>190</v>
      </c>
      <c r="G703" s="186"/>
      <c r="H703" s="215"/>
      <c r="I703" s="214"/>
      <c r="J703" s="214"/>
    </row>
    <row r="704" spans="1:10" s="28" customFormat="1" ht="12.75" hidden="1">
      <c r="A704" s="87" t="s">
        <v>37</v>
      </c>
      <c r="B704" s="27" t="s">
        <v>161</v>
      </c>
      <c r="C704" s="27" t="s">
        <v>126</v>
      </c>
      <c r="D704" s="27" t="s">
        <v>69</v>
      </c>
      <c r="E704" s="27" t="s">
        <v>38</v>
      </c>
      <c r="F704" s="17"/>
      <c r="G704" s="201"/>
      <c r="H704" s="202"/>
      <c r="I704" s="201"/>
      <c r="J704" s="201"/>
    </row>
    <row r="705" spans="1:10" s="21" customFormat="1" ht="38.25" hidden="1">
      <c r="A705" s="11" t="s">
        <v>39</v>
      </c>
      <c r="B705" s="20"/>
      <c r="C705" s="20"/>
      <c r="D705" s="20"/>
      <c r="E705" s="20"/>
      <c r="F705" s="20" t="s">
        <v>183</v>
      </c>
      <c r="G705" s="214"/>
      <c r="H705" s="215"/>
      <c r="I705" s="214"/>
      <c r="J705" s="214"/>
    </row>
    <row r="706" spans="1:10" s="21" customFormat="1" ht="38.25" hidden="1">
      <c r="A706" s="19" t="s">
        <v>40</v>
      </c>
      <c r="B706" s="20"/>
      <c r="C706" s="20"/>
      <c r="D706" s="20"/>
      <c r="E706" s="20"/>
      <c r="F706" s="20" t="s">
        <v>222</v>
      </c>
      <c r="G706" s="214"/>
      <c r="H706" s="215"/>
      <c r="I706" s="214"/>
      <c r="J706" s="214"/>
    </row>
    <row r="707" spans="1:10" s="21" customFormat="1" ht="26.25" customHeight="1" hidden="1">
      <c r="A707" s="12" t="s">
        <v>41</v>
      </c>
      <c r="B707" s="20"/>
      <c r="C707" s="20"/>
      <c r="D707" s="20"/>
      <c r="E707" s="20"/>
      <c r="F707" s="20" t="s">
        <v>192</v>
      </c>
      <c r="G707" s="214"/>
      <c r="H707" s="215"/>
      <c r="I707" s="214"/>
      <c r="J707" s="214"/>
    </row>
    <row r="708" spans="1:10" s="45" customFormat="1" ht="12.75" hidden="1">
      <c r="A708" s="43" t="s">
        <v>42</v>
      </c>
      <c r="B708" s="44" t="s">
        <v>161</v>
      </c>
      <c r="C708" s="44" t="s">
        <v>126</v>
      </c>
      <c r="D708" s="44" t="s">
        <v>69</v>
      </c>
      <c r="E708" s="44" t="s">
        <v>43</v>
      </c>
      <c r="F708" s="44"/>
      <c r="G708" s="197"/>
      <c r="H708" s="198"/>
      <c r="I708" s="197"/>
      <c r="J708" s="197"/>
    </row>
    <row r="709" spans="1:10" s="28" customFormat="1" ht="12.75" hidden="1">
      <c r="A709" s="87" t="s">
        <v>44</v>
      </c>
      <c r="B709" s="27" t="s">
        <v>161</v>
      </c>
      <c r="C709" s="27" t="s">
        <v>126</v>
      </c>
      <c r="D709" s="27" t="s">
        <v>69</v>
      </c>
      <c r="E709" s="27" t="s">
        <v>45</v>
      </c>
      <c r="F709" s="17"/>
      <c r="G709" s="201"/>
      <c r="H709" s="202"/>
      <c r="I709" s="201"/>
      <c r="J709" s="201"/>
    </row>
    <row r="710" spans="1:10" s="21" customFormat="1" ht="12.75" hidden="1">
      <c r="A710" s="6" t="s">
        <v>46</v>
      </c>
      <c r="B710" s="20"/>
      <c r="C710" s="20"/>
      <c r="D710" s="20"/>
      <c r="E710" s="20"/>
      <c r="F710" s="20"/>
      <c r="G710" s="214"/>
      <c r="H710" s="215"/>
      <c r="I710" s="214"/>
      <c r="J710" s="214"/>
    </row>
    <row r="711" spans="1:10" s="45" customFormat="1" ht="12.75" hidden="1">
      <c r="A711" s="43" t="s">
        <v>47</v>
      </c>
      <c r="B711" s="44" t="s">
        <v>161</v>
      </c>
      <c r="C711" s="44" t="s">
        <v>126</v>
      </c>
      <c r="D711" s="44" t="s">
        <v>69</v>
      </c>
      <c r="E711" s="44" t="s">
        <v>48</v>
      </c>
      <c r="F711" s="44"/>
      <c r="G711" s="197"/>
      <c r="H711" s="198"/>
      <c r="I711" s="197"/>
      <c r="J711" s="197"/>
    </row>
    <row r="712" spans="1:10" s="21" customFormat="1" ht="29.25" customHeight="1" hidden="1">
      <c r="A712" s="12" t="s">
        <v>41</v>
      </c>
      <c r="B712" s="20"/>
      <c r="C712" s="20"/>
      <c r="D712" s="20"/>
      <c r="E712" s="20"/>
      <c r="F712" s="20"/>
      <c r="G712" s="214"/>
      <c r="H712" s="215"/>
      <c r="I712" s="214"/>
      <c r="J712" s="214"/>
    </row>
    <row r="713" spans="1:10" s="45" customFormat="1" ht="12.75" hidden="1">
      <c r="A713" s="43" t="s">
        <v>49</v>
      </c>
      <c r="B713" s="44" t="s">
        <v>161</v>
      </c>
      <c r="C713" s="44" t="s">
        <v>126</v>
      </c>
      <c r="D713" s="44" t="s">
        <v>69</v>
      </c>
      <c r="E713" s="44" t="s">
        <v>50</v>
      </c>
      <c r="F713" s="44"/>
      <c r="G713" s="197"/>
      <c r="H713" s="198"/>
      <c r="I713" s="197"/>
      <c r="J713" s="197"/>
    </row>
    <row r="714" spans="1:10" s="28" customFormat="1" ht="12.75" hidden="1">
      <c r="A714" s="87" t="s">
        <v>51</v>
      </c>
      <c r="B714" s="27" t="s">
        <v>161</v>
      </c>
      <c r="C714" s="27" t="s">
        <v>126</v>
      </c>
      <c r="D714" s="27" t="s">
        <v>69</v>
      </c>
      <c r="E714" s="27" t="s">
        <v>52</v>
      </c>
      <c r="F714" s="17"/>
      <c r="G714" s="201"/>
      <c r="H714" s="202"/>
      <c r="I714" s="201"/>
      <c r="J714" s="201"/>
    </row>
    <row r="715" spans="1:10" s="21" customFormat="1" ht="12.75" hidden="1">
      <c r="A715" s="7" t="s">
        <v>53</v>
      </c>
      <c r="B715" s="20"/>
      <c r="C715" s="20"/>
      <c r="D715" s="20"/>
      <c r="E715" s="20"/>
      <c r="F715" s="20" t="s">
        <v>223</v>
      </c>
      <c r="G715" s="214"/>
      <c r="H715" s="215"/>
      <c r="I715" s="214"/>
      <c r="J715" s="214"/>
    </row>
    <row r="716" spans="1:10" s="21" customFormat="1" ht="51" customHeight="1" hidden="1">
      <c r="A716" s="7" t="s">
        <v>54</v>
      </c>
      <c r="B716" s="20"/>
      <c r="C716" s="20"/>
      <c r="D716" s="20"/>
      <c r="E716" s="20"/>
      <c r="F716" s="20" t="s">
        <v>194</v>
      </c>
      <c r="G716" s="214"/>
      <c r="H716" s="215"/>
      <c r="I716" s="214"/>
      <c r="J716" s="214"/>
    </row>
    <row r="717" spans="1:10" s="21" customFormat="1" ht="52.5" customHeight="1" hidden="1">
      <c r="A717" s="7" t="s">
        <v>55</v>
      </c>
      <c r="B717" s="20"/>
      <c r="C717" s="20"/>
      <c r="D717" s="20"/>
      <c r="E717" s="20"/>
      <c r="F717" s="20" t="s">
        <v>193</v>
      </c>
      <c r="G717" s="214"/>
      <c r="H717" s="215"/>
      <c r="I717" s="214"/>
      <c r="J717" s="214"/>
    </row>
    <row r="718" spans="1:10" s="28" customFormat="1" ht="15.75" customHeight="1" hidden="1">
      <c r="A718" s="87" t="s">
        <v>56</v>
      </c>
      <c r="B718" s="27" t="s">
        <v>161</v>
      </c>
      <c r="C718" s="27" t="s">
        <v>126</v>
      </c>
      <c r="D718" s="27" t="s">
        <v>69</v>
      </c>
      <c r="E718" s="27" t="s">
        <v>57</v>
      </c>
      <c r="F718" s="17"/>
      <c r="G718" s="201"/>
      <c r="H718" s="202"/>
      <c r="I718" s="201"/>
      <c r="J718" s="201"/>
    </row>
    <row r="719" spans="1:10" s="21" customFormat="1" ht="25.5" hidden="1">
      <c r="A719" s="7" t="s">
        <v>58</v>
      </c>
      <c r="B719" s="20"/>
      <c r="C719" s="20"/>
      <c r="D719" s="20"/>
      <c r="E719" s="20"/>
      <c r="F719" s="20" t="s">
        <v>195</v>
      </c>
      <c r="G719" s="214"/>
      <c r="H719" s="215"/>
      <c r="I719" s="214"/>
      <c r="J719" s="214"/>
    </row>
    <row r="720" spans="1:10" s="21" customFormat="1" ht="12.75" hidden="1">
      <c r="A720" s="7" t="s">
        <v>59</v>
      </c>
      <c r="B720" s="20"/>
      <c r="C720" s="20"/>
      <c r="D720" s="20"/>
      <c r="E720" s="20"/>
      <c r="F720" s="20" t="s">
        <v>196</v>
      </c>
      <c r="G720" s="214"/>
      <c r="H720" s="215"/>
      <c r="I720" s="214"/>
      <c r="J720" s="214"/>
    </row>
    <row r="721" spans="1:10" s="21" customFormat="1" ht="12.75" hidden="1">
      <c r="A721" s="7" t="s">
        <v>60</v>
      </c>
      <c r="B721" s="20"/>
      <c r="C721" s="20"/>
      <c r="D721" s="20"/>
      <c r="E721" s="20"/>
      <c r="F721" s="20" t="s">
        <v>197</v>
      </c>
      <c r="G721" s="214"/>
      <c r="H721" s="215"/>
      <c r="I721" s="214"/>
      <c r="J721" s="214"/>
    </row>
    <row r="722" spans="1:10" s="21" customFormat="1" ht="38.25" customHeight="1" hidden="1">
      <c r="A722" s="7" t="s">
        <v>61</v>
      </c>
      <c r="B722" s="20"/>
      <c r="C722" s="20"/>
      <c r="D722" s="20"/>
      <c r="E722" s="20"/>
      <c r="F722" s="20" t="s">
        <v>198</v>
      </c>
      <c r="G722" s="214"/>
      <c r="H722" s="215"/>
      <c r="I722" s="214"/>
      <c r="J722" s="214"/>
    </row>
    <row r="723" spans="1:10" s="21" customFormat="1" ht="12.75" hidden="1">
      <c r="A723" s="26" t="s">
        <v>78</v>
      </c>
      <c r="B723" s="24" t="s">
        <v>161</v>
      </c>
      <c r="C723" s="24" t="s">
        <v>143</v>
      </c>
      <c r="D723" s="24" t="s">
        <v>69</v>
      </c>
      <c r="E723" s="24"/>
      <c r="F723" s="24"/>
      <c r="G723" s="196"/>
      <c r="H723" s="215"/>
      <c r="I723" s="214"/>
      <c r="J723" s="214"/>
    </row>
    <row r="724" spans="1:10" s="45" customFormat="1" ht="15.75" customHeight="1" hidden="1">
      <c r="A724" s="43" t="s">
        <v>4</v>
      </c>
      <c r="B724" s="44" t="s">
        <v>161</v>
      </c>
      <c r="C724" s="44" t="s">
        <v>143</v>
      </c>
      <c r="D724" s="44" t="s">
        <v>69</v>
      </c>
      <c r="E724" s="44" t="s">
        <v>5</v>
      </c>
      <c r="F724" s="44"/>
      <c r="G724" s="197"/>
      <c r="H724" s="198"/>
      <c r="I724" s="197"/>
      <c r="J724" s="197"/>
    </row>
    <row r="725" spans="1:10" s="28" customFormat="1" ht="12.75" hidden="1">
      <c r="A725" s="87" t="s">
        <v>6</v>
      </c>
      <c r="B725" s="27" t="s">
        <v>161</v>
      </c>
      <c r="C725" s="27" t="s">
        <v>143</v>
      </c>
      <c r="D725" s="27" t="s">
        <v>69</v>
      </c>
      <c r="E725" s="27" t="s">
        <v>7</v>
      </c>
      <c r="F725" s="27"/>
      <c r="G725" s="201"/>
      <c r="H725" s="202"/>
      <c r="I725" s="201"/>
      <c r="J725" s="201"/>
    </row>
    <row r="726" spans="1:10" s="28" customFormat="1" ht="12.75" hidden="1">
      <c r="A726" s="87" t="s">
        <v>8</v>
      </c>
      <c r="B726" s="27" t="s">
        <v>161</v>
      </c>
      <c r="C726" s="27" t="s">
        <v>143</v>
      </c>
      <c r="D726" s="27" t="s">
        <v>69</v>
      </c>
      <c r="E726" s="27" t="s">
        <v>9</v>
      </c>
      <c r="F726" s="27"/>
      <c r="G726" s="201"/>
      <c r="H726" s="202"/>
      <c r="I726" s="201"/>
      <c r="J726" s="201"/>
    </row>
    <row r="727" spans="1:10" s="21" customFormat="1" ht="25.5" hidden="1">
      <c r="A727" s="11" t="s">
        <v>10</v>
      </c>
      <c r="B727" s="4"/>
      <c r="C727" s="4"/>
      <c r="D727" s="4"/>
      <c r="E727" s="4"/>
      <c r="F727" s="4" t="s">
        <v>183</v>
      </c>
      <c r="G727" s="200"/>
      <c r="H727" s="215"/>
      <c r="I727" s="214"/>
      <c r="J727" s="214"/>
    </row>
    <row r="728" spans="1:10" s="21" customFormat="1" ht="18" customHeight="1" hidden="1">
      <c r="A728" s="12" t="s">
        <v>11</v>
      </c>
      <c r="B728" s="4"/>
      <c r="C728" s="4"/>
      <c r="D728" s="4"/>
      <c r="E728" s="4"/>
      <c r="F728" s="4" t="s">
        <v>200</v>
      </c>
      <c r="G728" s="200"/>
      <c r="H728" s="215"/>
      <c r="I728" s="214"/>
      <c r="J728" s="214"/>
    </row>
    <row r="729" spans="1:10" s="21" customFormat="1" ht="25.5" hidden="1">
      <c r="A729" s="6" t="s">
        <v>12</v>
      </c>
      <c r="B729" s="4"/>
      <c r="C729" s="4"/>
      <c r="D729" s="4"/>
      <c r="E729" s="4"/>
      <c r="F729" s="4" t="s">
        <v>184</v>
      </c>
      <c r="G729" s="200"/>
      <c r="H729" s="215"/>
      <c r="I729" s="214"/>
      <c r="J729" s="214"/>
    </row>
    <row r="730" spans="1:10" s="28" customFormat="1" ht="12.75" hidden="1">
      <c r="A730" s="87" t="s">
        <v>13</v>
      </c>
      <c r="B730" s="27" t="s">
        <v>161</v>
      </c>
      <c r="C730" s="27" t="s">
        <v>143</v>
      </c>
      <c r="D730" s="27" t="s">
        <v>69</v>
      </c>
      <c r="E730" s="27" t="s">
        <v>14</v>
      </c>
      <c r="F730" s="27"/>
      <c r="G730" s="201"/>
      <c r="H730" s="202"/>
      <c r="I730" s="201"/>
      <c r="J730" s="201"/>
    </row>
    <row r="731" spans="1:10" s="45" customFormat="1" ht="12.75" hidden="1">
      <c r="A731" s="43" t="s">
        <v>15</v>
      </c>
      <c r="B731" s="44" t="s">
        <v>161</v>
      </c>
      <c r="C731" s="44" t="s">
        <v>143</v>
      </c>
      <c r="D731" s="44" t="s">
        <v>69</v>
      </c>
      <c r="E731" s="44" t="s">
        <v>16</v>
      </c>
      <c r="F731" s="44"/>
      <c r="G731" s="197"/>
      <c r="H731" s="198"/>
      <c r="I731" s="197"/>
      <c r="J731" s="197"/>
    </row>
    <row r="732" spans="1:10" s="28" customFormat="1" ht="12.75" hidden="1">
      <c r="A732" s="87" t="s">
        <v>17</v>
      </c>
      <c r="B732" s="27" t="s">
        <v>161</v>
      </c>
      <c r="C732" s="27" t="s">
        <v>143</v>
      </c>
      <c r="D732" s="27" t="s">
        <v>69</v>
      </c>
      <c r="E732" s="27" t="s">
        <v>18</v>
      </c>
      <c r="F732" s="27"/>
      <c r="G732" s="201"/>
      <c r="H732" s="202"/>
      <c r="I732" s="201"/>
      <c r="J732" s="201"/>
    </row>
    <row r="733" spans="1:10" s="28" customFormat="1" ht="12.75" hidden="1">
      <c r="A733" s="87" t="s">
        <v>21</v>
      </c>
      <c r="B733" s="27" t="s">
        <v>161</v>
      </c>
      <c r="C733" s="27" t="s">
        <v>143</v>
      </c>
      <c r="D733" s="27" t="s">
        <v>69</v>
      </c>
      <c r="E733" s="27" t="s">
        <v>19</v>
      </c>
      <c r="F733" s="27"/>
      <c r="G733" s="201"/>
      <c r="H733" s="202"/>
      <c r="I733" s="201"/>
      <c r="J733" s="201"/>
    </row>
    <row r="734" spans="1:10" s="21" customFormat="1" ht="25.5" hidden="1">
      <c r="A734" s="11" t="s">
        <v>20</v>
      </c>
      <c r="B734" s="4"/>
      <c r="C734" s="4"/>
      <c r="D734" s="4"/>
      <c r="E734" s="4"/>
      <c r="F734" s="4" t="s">
        <v>183</v>
      </c>
      <c r="G734" s="200"/>
      <c r="H734" s="215"/>
      <c r="I734" s="214"/>
      <c r="J734" s="214"/>
    </row>
    <row r="735" spans="1:10" s="21" customFormat="1" ht="38.25" hidden="1">
      <c r="A735" s="8" t="s">
        <v>22</v>
      </c>
      <c r="B735" s="4"/>
      <c r="C735" s="4"/>
      <c r="D735" s="4"/>
      <c r="E735" s="4"/>
      <c r="F735" s="4" t="s">
        <v>185</v>
      </c>
      <c r="G735" s="200"/>
      <c r="H735" s="215"/>
      <c r="I735" s="214"/>
      <c r="J735" s="214"/>
    </row>
    <row r="736" spans="1:10" s="21" customFormat="1" ht="12.75" hidden="1">
      <c r="A736" s="16" t="s">
        <v>23</v>
      </c>
      <c r="B736" s="27" t="s">
        <v>161</v>
      </c>
      <c r="C736" s="17" t="s">
        <v>143</v>
      </c>
      <c r="D736" s="17" t="s">
        <v>69</v>
      </c>
      <c r="E736" s="17" t="s">
        <v>24</v>
      </c>
      <c r="F736" s="17"/>
      <c r="G736" s="186"/>
      <c r="H736" s="215"/>
      <c r="I736" s="214"/>
      <c r="J736" s="214"/>
    </row>
    <row r="737" spans="1:10" s="21" customFormat="1" ht="25.5" hidden="1">
      <c r="A737" s="7" t="s">
        <v>25</v>
      </c>
      <c r="B737" s="4"/>
      <c r="C737" s="4"/>
      <c r="D737" s="4"/>
      <c r="E737" s="4"/>
      <c r="F737" s="4" t="s">
        <v>186</v>
      </c>
      <c r="G737" s="200"/>
      <c r="H737" s="215"/>
      <c r="I737" s="214"/>
      <c r="J737" s="214"/>
    </row>
    <row r="738" spans="1:10" s="21" customFormat="1" ht="24.75" customHeight="1" hidden="1">
      <c r="A738" s="7" t="s">
        <v>26</v>
      </c>
      <c r="B738" s="4"/>
      <c r="C738" s="4"/>
      <c r="D738" s="4"/>
      <c r="E738" s="4"/>
      <c r="F738" s="4" t="s">
        <v>187</v>
      </c>
      <c r="G738" s="200"/>
      <c r="H738" s="215"/>
      <c r="I738" s="214"/>
      <c r="J738" s="214"/>
    </row>
    <row r="739" spans="1:10" s="21" customFormat="1" ht="12.75" hidden="1">
      <c r="A739" s="7" t="s">
        <v>27</v>
      </c>
      <c r="B739" s="4"/>
      <c r="C739" s="4"/>
      <c r="D739" s="4"/>
      <c r="E739" s="4"/>
      <c r="F739" s="4" t="s">
        <v>188</v>
      </c>
      <c r="G739" s="200"/>
      <c r="H739" s="215"/>
      <c r="I739" s="214"/>
      <c r="J739" s="214"/>
    </row>
    <row r="740" spans="1:10" s="28" customFormat="1" ht="13.5" customHeight="1" hidden="1">
      <c r="A740" s="87" t="s">
        <v>28</v>
      </c>
      <c r="B740" s="27" t="s">
        <v>161</v>
      </c>
      <c r="C740" s="27" t="s">
        <v>143</v>
      </c>
      <c r="D740" s="27" t="s">
        <v>69</v>
      </c>
      <c r="E740" s="27" t="s">
        <v>29</v>
      </c>
      <c r="F740" s="27"/>
      <c r="G740" s="201"/>
      <c r="H740" s="202"/>
      <c r="I740" s="201"/>
      <c r="J740" s="201"/>
    </row>
    <row r="741" spans="1:10" s="28" customFormat="1" ht="12.75" hidden="1">
      <c r="A741" s="87" t="s">
        <v>30</v>
      </c>
      <c r="B741" s="27" t="s">
        <v>161</v>
      </c>
      <c r="C741" s="27" t="s">
        <v>143</v>
      </c>
      <c r="D741" s="27" t="s">
        <v>69</v>
      </c>
      <c r="E741" s="27" t="s">
        <v>31</v>
      </c>
      <c r="F741" s="27"/>
      <c r="G741" s="201"/>
      <c r="H741" s="202"/>
      <c r="I741" s="201"/>
      <c r="J741" s="201"/>
    </row>
    <row r="742" spans="1:10" s="21" customFormat="1" ht="12.75" hidden="1">
      <c r="A742" s="7" t="s">
        <v>32</v>
      </c>
      <c r="B742" s="17"/>
      <c r="C742" s="17"/>
      <c r="D742" s="17"/>
      <c r="E742" s="17"/>
      <c r="F742" s="17" t="s">
        <v>189</v>
      </c>
      <c r="G742" s="186"/>
      <c r="H742" s="215"/>
      <c r="I742" s="214"/>
      <c r="J742" s="214"/>
    </row>
    <row r="743" spans="1:10" s="21" customFormat="1" ht="12.75" hidden="1">
      <c r="A743" s="7" t="s">
        <v>33</v>
      </c>
      <c r="B743" s="17"/>
      <c r="C743" s="17"/>
      <c r="D743" s="17"/>
      <c r="E743" s="17"/>
      <c r="F743" s="17" t="s">
        <v>191</v>
      </c>
      <c r="G743" s="186"/>
      <c r="H743" s="215"/>
      <c r="I743" s="214"/>
      <c r="J743" s="214"/>
    </row>
    <row r="744" spans="1:10" s="21" customFormat="1" ht="25.5" hidden="1">
      <c r="A744" s="7" t="s">
        <v>34</v>
      </c>
      <c r="B744" s="17"/>
      <c r="C744" s="17"/>
      <c r="D744" s="17"/>
      <c r="E744" s="17"/>
      <c r="F744" s="17" t="s">
        <v>221</v>
      </c>
      <c r="G744" s="186"/>
      <c r="H744" s="215"/>
      <c r="I744" s="214"/>
      <c r="J744" s="214"/>
    </row>
    <row r="745" spans="1:10" s="21" customFormat="1" ht="25.5" hidden="1">
      <c r="A745" s="7" t="s">
        <v>35</v>
      </c>
      <c r="B745" s="17"/>
      <c r="C745" s="17"/>
      <c r="D745" s="17"/>
      <c r="E745" s="17"/>
      <c r="F745" s="17" t="s">
        <v>190</v>
      </c>
      <c r="G745" s="186"/>
      <c r="H745" s="215"/>
      <c r="I745" s="214"/>
      <c r="J745" s="214"/>
    </row>
    <row r="746" spans="1:10" s="21" customFormat="1" ht="51" hidden="1">
      <c r="A746" s="7" t="s">
        <v>36</v>
      </c>
      <c r="B746" s="17"/>
      <c r="C746" s="17"/>
      <c r="D746" s="17"/>
      <c r="E746" s="17"/>
      <c r="F746" s="17" t="s">
        <v>190</v>
      </c>
      <c r="G746" s="186"/>
      <c r="H746" s="215"/>
      <c r="I746" s="214"/>
      <c r="J746" s="214"/>
    </row>
    <row r="747" spans="1:10" s="28" customFormat="1" ht="12.75" hidden="1">
      <c r="A747" s="87" t="s">
        <v>37</v>
      </c>
      <c r="B747" s="27" t="s">
        <v>161</v>
      </c>
      <c r="C747" s="27" t="s">
        <v>143</v>
      </c>
      <c r="D747" s="27" t="s">
        <v>69</v>
      </c>
      <c r="E747" s="27" t="s">
        <v>38</v>
      </c>
      <c r="F747" s="17"/>
      <c r="G747" s="201"/>
      <c r="H747" s="202"/>
      <c r="I747" s="201"/>
      <c r="J747" s="201"/>
    </row>
    <row r="748" spans="1:10" s="21" customFormat="1" ht="38.25" hidden="1">
      <c r="A748" s="11" t="s">
        <v>39</v>
      </c>
      <c r="B748" s="20"/>
      <c r="C748" s="20"/>
      <c r="D748" s="20"/>
      <c r="E748" s="20"/>
      <c r="F748" s="20" t="s">
        <v>183</v>
      </c>
      <c r="G748" s="214"/>
      <c r="H748" s="215"/>
      <c r="I748" s="214"/>
      <c r="J748" s="214"/>
    </row>
    <row r="749" spans="1:10" s="21" customFormat="1" ht="38.25" hidden="1">
      <c r="A749" s="19" t="s">
        <v>40</v>
      </c>
      <c r="B749" s="20"/>
      <c r="C749" s="20"/>
      <c r="D749" s="20"/>
      <c r="E749" s="20"/>
      <c r="F749" s="20" t="s">
        <v>222</v>
      </c>
      <c r="G749" s="214"/>
      <c r="H749" s="215"/>
      <c r="I749" s="214"/>
      <c r="J749" s="214"/>
    </row>
    <row r="750" spans="1:10" s="21" customFormat="1" ht="27.75" customHeight="1" hidden="1">
      <c r="A750" s="12" t="s">
        <v>41</v>
      </c>
      <c r="B750" s="20"/>
      <c r="C750" s="20"/>
      <c r="D750" s="20"/>
      <c r="E750" s="20"/>
      <c r="F750" s="20" t="s">
        <v>192</v>
      </c>
      <c r="G750" s="214"/>
      <c r="H750" s="215"/>
      <c r="I750" s="214"/>
      <c r="J750" s="214"/>
    </row>
    <row r="751" spans="1:10" s="45" customFormat="1" ht="12.75" hidden="1">
      <c r="A751" s="43" t="s">
        <v>42</v>
      </c>
      <c r="B751" s="44" t="s">
        <v>161</v>
      </c>
      <c r="C751" s="44" t="s">
        <v>143</v>
      </c>
      <c r="D751" s="44" t="s">
        <v>69</v>
      </c>
      <c r="E751" s="44" t="s">
        <v>43</v>
      </c>
      <c r="F751" s="44"/>
      <c r="G751" s="197"/>
      <c r="H751" s="198"/>
      <c r="I751" s="197"/>
      <c r="J751" s="197"/>
    </row>
    <row r="752" spans="1:10" s="28" customFormat="1" ht="12.75" hidden="1">
      <c r="A752" s="87" t="s">
        <v>44</v>
      </c>
      <c r="B752" s="27" t="s">
        <v>161</v>
      </c>
      <c r="C752" s="27" t="s">
        <v>143</v>
      </c>
      <c r="D752" s="27" t="s">
        <v>69</v>
      </c>
      <c r="E752" s="27" t="s">
        <v>45</v>
      </c>
      <c r="F752" s="17"/>
      <c r="G752" s="201"/>
      <c r="H752" s="202"/>
      <c r="I752" s="201"/>
      <c r="J752" s="201"/>
    </row>
    <row r="753" spans="1:10" s="21" customFormat="1" ht="12.75" hidden="1">
      <c r="A753" s="6" t="s">
        <v>46</v>
      </c>
      <c r="B753" s="20"/>
      <c r="C753" s="20"/>
      <c r="D753" s="20"/>
      <c r="E753" s="20"/>
      <c r="F753" s="20"/>
      <c r="G753" s="214"/>
      <c r="H753" s="215"/>
      <c r="I753" s="214"/>
      <c r="J753" s="214"/>
    </row>
    <row r="754" spans="1:10" s="45" customFormat="1" ht="12.75" hidden="1">
      <c r="A754" s="43" t="s">
        <v>47</v>
      </c>
      <c r="B754" s="44" t="s">
        <v>161</v>
      </c>
      <c r="C754" s="44" t="s">
        <v>143</v>
      </c>
      <c r="D754" s="44" t="s">
        <v>69</v>
      </c>
      <c r="E754" s="44" t="s">
        <v>48</v>
      </c>
      <c r="F754" s="44"/>
      <c r="G754" s="197"/>
      <c r="H754" s="198"/>
      <c r="I754" s="197"/>
      <c r="J754" s="197"/>
    </row>
    <row r="755" spans="1:10" s="21" customFormat="1" ht="27" customHeight="1" hidden="1">
      <c r="A755" s="12" t="s">
        <v>41</v>
      </c>
      <c r="B755" s="20"/>
      <c r="C755" s="20"/>
      <c r="D755" s="20"/>
      <c r="E755" s="20"/>
      <c r="F755" s="20"/>
      <c r="G755" s="214"/>
      <c r="H755" s="215"/>
      <c r="I755" s="214"/>
      <c r="J755" s="214"/>
    </row>
    <row r="756" spans="1:10" s="45" customFormat="1" ht="12.75" hidden="1">
      <c r="A756" s="43" t="s">
        <v>49</v>
      </c>
      <c r="B756" s="44" t="s">
        <v>161</v>
      </c>
      <c r="C756" s="44" t="s">
        <v>143</v>
      </c>
      <c r="D756" s="44" t="s">
        <v>69</v>
      </c>
      <c r="E756" s="44" t="s">
        <v>50</v>
      </c>
      <c r="F756" s="44"/>
      <c r="G756" s="197"/>
      <c r="H756" s="198"/>
      <c r="I756" s="197"/>
      <c r="J756" s="197"/>
    </row>
    <row r="757" spans="1:10" s="28" customFormat="1" ht="12.75" hidden="1">
      <c r="A757" s="87" t="s">
        <v>51</v>
      </c>
      <c r="B757" s="27" t="s">
        <v>161</v>
      </c>
      <c r="C757" s="27" t="s">
        <v>143</v>
      </c>
      <c r="D757" s="27" t="s">
        <v>69</v>
      </c>
      <c r="E757" s="27" t="s">
        <v>52</v>
      </c>
      <c r="F757" s="17"/>
      <c r="G757" s="201"/>
      <c r="H757" s="202"/>
      <c r="I757" s="201"/>
      <c r="J757" s="201"/>
    </row>
    <row r="758" spans="1:10" s="21" customFormat="1" ht="12.75" hidden="1">
      <c r="A758" s="7" t="s">
        <v>53</v>
      </c>
      <c r="B758" s="20"/>
      <c r="C758" s="20"/>
      <c r="D758" s="20"/>
      <c r="E758" s="20"/>
      <c r="F758" s="20" t="s">
        <v>223</v>
      </c>
      <c r="G758" s="214"/>
      <c r="H758" s="215"/>
      <c r="I758" s="214"/>
      <c r="J758" s="214"/>
    </row>
    <row r="759" spans="1:10" s="21" customFormat="1" ht="51" hidden="1">
      <c r="A759" s="7" t="s">
        <v>54</v>
      </c>
      <c r="B759" s="20"/>
      <c r="C759" s="20"/>
      <c r="D759" s="20"/>
      <c r="E759" s="20"/>
      <c r="F759" s="20" t="s">
        <v>194</v>
      </c>
      <c r="G759" s="214"/>
      <c r="H759" s="215"/>
      <c r="I759" s="214"/>
      <c r="J759" s="214"/>
    </row>
    <row r="760" spans="1:10" s="21" customFormat="1" ht="51" customHeight="1" hidden="1">
      <c r="A760" s="7" t="s">
        <v>55</v>
      </c>
      <c r="B760" s="20"/>
      <c r="C760" s="20"/>
      <c r="D760" s="20"/>
      <c r="E760" s="20"/>
      <c r="F760" s="20" t="s">
        <v>193</v>
      </c>
      <c r="G760" s="214"/>
      <c r="H760" s="215"/>
      <c r="I760" s="214"/>
      <c r="J760" s="214"/>
    </row>
    <row r="761" spans="1:10" s="28" customFormat="1" ht="12.75" customHeight="1" hidden="1">
      <c r="A761" s="87" t="s">
        <v>56</v>
      </c>
      <c r="B761" s="27" t="s">
        <v>161</v>
      </c>
      <c r="C761" s="27" t="s">
        <v>143</v>
      </c>
      <c r="D761" s="27" t="s">
        <v>69</v>
      </c>
      <c r="E761" s="27" t="s">
        <v>57</v>
      </c>
      <c r="F761" s="17"/>
      <c r="G761" s="201"/>
      <c r="H761" s="202"/>
      <c r="I761" s="201"/>
      <c r="J761" s="201"/>
    </row>
    <row r="762" spans="1:10" s="21" customFormat="1" ht="25.5" hidden="1">
      <c r="A762" s="7" t="s">
        <v>58</v>
      </c>
      <c r="B762" s="20"/>
      <c r="C762" s="20"/>
      <c r="D762" s="20"/>
      <c r="E762" s="20"/>
      <c r="F762" s="20" t="s">
        <v>195</v>
      </c>
      <c r="G762" s="214"/>
      <c r="H762" s="215"/>
      <c r="I762" s="214"/>
      <c r="J762" s="214"/>
    </row>
    <row r="763" spans="1:10" s="21" customFormat="1" ht="12.75" hidden="1">
      <c r="A763" s="7" t="s">
        <v>59</v>
      </c>
      <c r="B763" s="20"/>
      <c r="C763" s="20"/>
      <c r="D763" s="20"/>
      <c r="E763" s="20"/>
      <c r="F763" s="20" t="s">
        <v>196</v>
      </c>
      <c r="G763" s="214"/>
      <c r="H763" s="215"/>
      <c r="I763" s="214"/>
      <c r="J763" s="214"/>
    </row>
    <row r="764" spans="1:10" s="21" customFormat="1" ht="12.75" customHeight="1" hidden="1">
      <c r="A764" s="7" t="s">
        <v>60</v>
      </c>
      <c r="B764" s="20"/>
      <c r="C764" s="20"/>
      <c r="D764" s="20"/>
      <c r="E764" s="20"/>
      <c r="F764" s="20" t="s">
        <v>197</v>
      </c>
      <c r="G764" s="214"/>
      <c r="H764" s="215"/>
      <c r="I764" s="214"/>
      <c r="J764" s="214"/>
    </row>
    <row r="765" spans="1:10" s="21" customFormat="1" ht="14.25" customHeight="1" hidden="1">
      <c r="A765" s="7" t="s">
        <v>61</v>
      </c>
      <c r="B765" s="20"/>
      <c r="C765" s="20"/>
      <c r="D765" s="20"/>
      <c r="E765" s="20"/>
      <c r="F765" s="20" t="s">
        <v>198</v>
      </c>
      <c r="G765" s="214"/>
      <c r="H765" s="215"/>
      <c r="I765" s="214"/>
      <c r="J765" s="214"/>
    </row>
    <row r="766" spans="1:10" s="45" customFormat="1" ht="12.75">
      <c r="A766" s="166" t="s">
        <v>272</v>
      </c>
      <c r="B766" s="70" t="s">
        <v>161</v>
      </c>
      <c r="C766" s="70" t="s">
        <v>127</v>
      </c>
      <c r="D766" s="70" t="s">
        <v>2</v>
      </c>
      <c r="E766" s="70"/>
      <c r="F766" s="70"/>
      <c r="G766" s="207">
        <f aca="true" t="shared" si="8" ref="G766:J767">G767</f>
        <v>367000</v>
      </c>
      <c r="H766" s="198">
        <f t="shared" si="8"/>
        <v>391150</v>
      </c>
      <c r="I766" s="207">
        <f t="shared" si="8"/>
        <v>-24150</v>
      </c>
      <c r="J766" s="207">
        <f t="shared" si="8"/>
        <v>0</v>
      </c>
    </row>
    <row r="767" spans="1:10" s="28" customFormat="1" ht="12.75">
      <c r="A767" s="87" t="s">
        <v>37</v>
      </c>
      <c r="B767" s="27" t="s">
        <v>161</v>
      </c>
      <c r="C767" s="27" t="s">
        <v>127</v>
      </c>
      <c r="D767" s="27" t="s">
        <v>79</v>
      </c>
      <c r="E767" s="27" t="s">
        <v>38</v>
      </c>
      <c r="F767" s="50"/>
      <c r="G767" s="225">
        <f t="shared" si="8"/>
        <v>367000</v>
      </c>
      <c r="H767" s="226">
        <f t="shared" si="8"/>
        <v>391150</v>
      </c>
      <c r="I767" s="225">
        <f t="shared" si="8"/>
        <v>-24150</v>
      </c>
      <c r="J767" s="225">
        <f t="shared" si="8"/>
        <v>0</v>
      </c>
    </row>
    <row r="768" spans="1:10" s="21" customFormat="1" ht="25.5" customHeight="1">
      <c r="A768" s="12" t="s">
        <v>354</v>
      </c>
      <c r="B768" s="20"/>
      <c r="C768" s="20"/>
      <c r="D768" s="20"/>
      <c r="E768" s="20"/>
      <c r="F768" s="20" t="s">
        <v>403</v>
      </c>
      <c r="G768" s="214">
        <f>267000+100000</f>
        <v>367000</v>
      </c>
      <c r="H768" s="215">
        <f>2910+31600+27950+18150+1050+190000+2400+17500+16340+80000+3250</f>
        <v>391150</v>
      </c>
      <c r="I768" s="214">
        <f>G768-H768</f>
        <v>-24150</v>
      </c>
      <c r="J768" s="214"/>
    </row>
    <row r="769" spans="1:10" s="21" customFormat="1" ht="12.75">
      <c r="A769" s="125" t="s">
        <v>241</v>
      </c>
      <c r="B769" s="14" t="s">
        <v>162</v>
      </c>
      <c r="C769" s="14" t="s">
        <v>368</v>
      </c>
      <c r="D769" s="14" t="s">
        <v>79</v>
      </c>
      <c r="E769" s="14"/>
      <c r="F769" s="14"/>
      <c r="G769" s="211">
        <f aca="true" t="shared" si="9" ref="G769:J770">G770</f>
        <v>30000</v>
      </c>
      <c r="H769" s="196">
        <f t="shared" si="9"/>
        <v>21233.75</v>
      </c>
      <c r="I769" s="211">
        <f t="shared" si="9"/>
        <v>8766.25</v>
      </c>
      <c r="J769" s="211">
        <f t="shared" si="9"/>
        <v>0</v>
      </c>
    </row>
    <row r="770" spans="1:10" s="21" customFormat="1" ht="12.75">
      <c r="A770" s="87" t="s">
        <v>37</v>
      </c>
      <c r="B770" s="14" t="s">
        <v>162</v>
      </c>
      <c r="C770" s="20" t="s">
        <v>368</v>
      </c>
      <c r="D770" s="20" t="s">
        <v>79</v>
      </c>
      <c r="E770" s="20" t="s">
        <v>38</v>
      </c>
      <c r="F770" s="20"/>
      <c r="G770" s="214">
        <f t="shared" si="9"/>
        <v>30000</v>
      </c>
      <c r="H770" s="215">
        <f t="shared" si="9"/>
        <v>21233.75</v>
      </c>
      <c r="I770" s="214">
        <f t="shared" si="9"/>
        <v>8766.25</v>
      </c>
      <c r="J770" s="214">
        <f t="shared" si="9"/>
        <v>0</v>
      </c>
    </row>
    <row r="771" spans="1:10" s="21" customFormat="1" ht="25.5">
      <c r="A771" s="12" t="s">
        <v>354</v>
      </c>
      <c r="B771" s="14"/>
      <c r="C771" s="20"/>
      <c r="D771" s="20"/>
      <c r="E771" s="20"/>
      <c r="F771" s="20" t="s">
        <v>403</v>
      </c>
      <c r="G771" s="214">
        <v>30000</v>
      </c>
      <c r="H771" s="215">
        <f>2415+1035+189.75+345+2242+15007</f>
        <v>21233.75</v>
      </c>
      <c r="I771" s="214">
        <f>G771-H771</f>
        <v>8766.25</v>
      </c>
      <c r="J771" s="214"/>
    </row>
    <row r="772" spans="1:10" s="21" customFormat="1" ht="12.75">
      <c r="A772" s="49" t="s">
        <v>80</v>
      </c>
      <c r="B772" s="48" t="s">
        <v>163</v>
      </c>
      <c r="C772" s="48" t="s">
        <v>128</v>
      </c>
      <c r="D772" s="48" t="s">
        <v>81</v>
      </c>
      <c r="E772" s="48"/>
      <c r="F772" s="48"/>
      <c r="G772" s="222">
        <f aca="true" t="shared" si="10" ref="G772:J773">G773</f>
        <v>160000</v>
      </c>
      <c r="H772" s="196">
        <f t="shared" si="10"/>
        <v>157036</v>
      </c>
      <c r="I772" s="222">
        <f t="shared" si="10"/>
        <v>2964</v>
      </c>
      <c r="J772" s="222">
        <f t="shared" si="10"/>
        <v>0</v>
      </c>
    </row>
    <row r="773" spans="1:10" s="21" customFormat="1" ht="12.75">
      <c r="A773" s="87" t="s">
        <v>37</v>
      </c>
      <c r="B773" s="14" t="s">
        <v>163</v>
      </c>
      <c r="C773" s="14" t="s">
        <v>128</v>
      </c>
      <c r="D773" s="14" t="s">
        <v>81</v>
      </c>
      <c r="E773" s="14" t="s">
        <v>38</v>
      </c>
      <c r="F773" s="14"/>
      <c r="G773" s="211">
        <f t="shared" si="10"/>
        <v>160000</v>
      </c>
      <c r="H773" s="196">
        <f t="shared" si="10"/>
        <v>157036</v>
      </c>
      <c r="I773" s="211">
        <f t="shared" si="10"/>
        <v>2964</v>
      </c>
      <c r="J773" s="211">
        <f t="shared" si="10"/>
        <v>0</v>
      </c>
    </row>
    <row r="774" spans="1:10" s="21" customFormat="1" ht="25.5">
      <c r="A774" s="12" t="s">
        <v>408</v>
      </c>
      <c r="B774" s="20"/>
      <c r="C774" s="20"/>
      <c r="D774" s="20"/>
      <c r="E774" s="20"/>
      <c r="F774" s="20" t="s">
        <v>403</v>
      </c>
      <c r="G774" s="214">
        <v>160000</v>
      </c>
      <c r="H774" s="215">
        <f>56906+91350+8780</f>
        <v>157036</v>
      </c>
      <c r="I774" s="214">
        <f>G774-H774</f>
        <v>2964</v>
      </c>
      <c r="J774" s="214"/>
    </row>
    <row r="775" spans="1:10" s="21" customFormat="1" ht="12.75" hidden="1">
      <c r="A775" s="12" t="s">
        <v>132</v>
      </c>
      <c r="B775" s="20"/>
      <c r="C775" s="20"/>
      <c r="D775" s="20"/>
      <c r="E775" s="20"/>
      <c r="F775" s="20"/>
      <c r="G775" s="214"/>
      <c r="H775" s="215"/>
      <c r="I775" s="214"/>
      <c r="J775" s="214"/>
    </row>
    <row r="776" spans="1:10" s="21" customFormat="1" ht="12.75" hidden="1">
      <c r="A776" s="12" t="s">
        <v>133</v>
      </c>
      <c r="B776" s="20"/>
      <c r="C776" s="20"/>
      <c r="D776" s="20"/>
      <c r="E776" s="20"/>
      <c r="F776" s="20"/>
      <c r="G776" s="214"/>
      <c r="H776" s="215"/>
      <c r="I776" s="214"/>
      <c r="J776" s="214"/>
    </row>
    <row r="777" spans="1:10" s="21" customFormat="1" ht="12.75" hidden="1">
      <c r="A777" s="12" t="s">
        <v>134</v>
      </c>
      <c r="B777" s="20"/>
      <c r="C777" s="20"/>
      <c r="D777" s="20"/>
      <c r="E777" s="20"/>
      <c r="F777" s="20"/>
      <c r="G777" s="214"/>
      <c r="H777" s="215"/>
      <c r="I777" s="214"/>
      <c r="J777" s="214"/>
    </row>
    <row r="778" spans="1:10" s="21" customFormat="1" ht="12.75" hidden="1">
      <c r="A778" s="12" t="s">
        <v>139</v>
      </c>
      <c r="B778" s="20"/>
      <c r="C778" s="20"/>
      <c r="D778" s="20"/>
      <c r="E778" s="20"/>
      <c r="F778" s="20"/>
      <c r="G778" s="214"/>
      <c r="H778" s="215"/>
      <c r="I778" s="214"/>
      <c r="J778" s="214"/>
    </row>
    <row r="779" spans="1:10" s="21" customFormat="1" ht="12.75" hidden="1">
      <c r="A779" s="12" t="s">
        <v>135</v>
      </c>
      <c r="B779" s="20"/>
      <c r="C779" s="20"/>
      <c r="D779" s="20"/>
      <c r="E779" s="20"/>
      <c r="F779" s="20"/>
      <c r="G779" s="214"/>
      <c r="H779" s="215"/>
      <c r="I779" s="214"/>
      <c r="J779" s="214"/>
    </row>
    <row r="780" spans="1:10" s="21" customFormat="1" ht="12.75">
      <c r="A780" s="12"/>
      <c r="B780" s="20"/>
      <c r="C780" s="20"/>
      <c r="D780" s="20"/>
      <c r="E780" s="20"/>
      <c r="F780" s="20"/>
      <c r="G780" s="214"/>
      <c r="H780" s="215"/>
      <c r="I780" s="214"/>
      <c r="J780" s="214"/>
    </row>
    <row r="781" spans="1:10" s="21" customFormat="1" ht="12.75">
      <c r="A781" s="167" t="s">
        <v>235</v>
      </c>
      <c r="B781" s="48" t="s">
        <v>273</v>
      </c>
      <c r="C781" s="160" t="s">
        <v>88</v>
      </c>
      <c r="D781" s="160" t="s">
        <v>2</v>
      </c>
      <c r="E781" s="160"/>
      <c r="F781" s="160"/>
      <c r="G781" s="222">
        <f>G782</f>
        <v>662904</v>
      </c>
      <c r="H781" s="196">
        <f>H782</f>
        <v>362725.08999999997</v>
      </c>
      <c r="I781" s="222">
        <f>I782</f>
        <v>300178.91000000003</v>
      </c>
      <c r="J781" s="222">
        <f>J782</f>
        <v>0</v>
      </c>
    </row>
    <row r="782" spans="1:10" s="21" customFormat="1" ht="12.75">
      <c r="A782" s="22" t="s">
        <v>274</v>
      </c>
      <c r="B782" s="14" t="s">
        <v>236</v>
      </c>
      <c r="C782" s="14" t="s">
        <v>88</v>
      </c>
      <c r="D782" s="14" t="s">
        <v>2</v>
      </c>
      <c r="E782" s="14"/>
      <c r="F782" s="14"/>
      <c r="G782" s="211">
        <f>G783+G789+G786</f>
        <v>662904</v>
      </c>
      <c r="H782" s="196">
        <f>H783+H789+H786</f>
        <v>362725.08999999997</v>
      </c>
      <c r="I782" s="211">
        <f>I783+I789+I786</f>
        <v>300178.91000000003</v>
      </c>
      <c r="J782" s="211">
        <f>J783+J789+J786</f>
        <v>0</v>
      </c>
    </row>
    <row r="783" spans="1:10" s="21" customFormat="1" ht="38.25">
      <c r="A783" s="22" t="s">
        <v>275</v>
      </c>
      <c r="B783" s="14" t="s">
        <v>236</v>
      </c>
      <c r="C783" s="14" t="s">
        <v>294</v>
      </c>
      <c r="D783" s="14" t="s">
        <v>277</v>
      </c>
      <c r="E783" s="14"/>
      <c r="F783" s="14"/>
      <c r="G783" s="211">
        <f aca="true" t="shared" si="11" ref="G783:J784">G784</f>
        <v>348904</v>
      </c>
      <c r="H783" s="196">
        <f t="shared" si="11"/>
        <v>84600</v>
      </c>
      <c r="I783" s="211">
        <f t="shared" si="11"/>
        <v>264304</v>
      </c>
      <c r="J783" s="211">
        <f t="shared" si="11"/>
        <v>0</v>
      </c>
    </row>
    <row r="784" spans="1:10" s="21" customFormat="1" ht="12.75">
      <c r="A784" s="11" t="s">
        <v>278</v>
      </c>
      <c r="B784" s="20" t="s">
        <v>236</v>
      </c>
      <c r="C784" s="14" t="s">
        <v>294</v>
      </c>
      <c r="D784" s="20" t="s">
        <v>277</v>
      </c>
      <c r="E784" s="20" t="s">
        <v>43</v>
      </c>
      <c r="F784" s="20"/>
      <c r="G784" s="214">
        <f t="shared" si="11"/>
        <v>348904</v>
      </c>
      <c r="H784" s="215">
        <f t="shared" si="11"/>
        <v>84600</v>
      </c>
      <c r="I784" s="214">
        <f t="shared" si="11"/>
        <v>264304</v>
      </c>
      <c r="J784" s="214">
        <f t="shared" si="11"/>
        <v>0</v>
      </c>
    </row>
    <row r="785" spans="1:10" s="21" customFormat="1" ht="12.75">
      <c r="A785" s="11" t="s">
        <v>44</v>
      </c>
      <c r="B785" s="20" t="s">
        <v>236</v>
      </c>
      <c r="C785" s="14" t="s">
        <v>294</v>
      </c>
      <c r="D785" s="20" t="s">
        <v>277</v>
      </c>
      <c r="E785" s="20" t="s">
        <v>45</v>
      </c>
      <c r="F785" s="20" t="s">
        <v>369</v>
      </c>
      <c r="G785" s="214">
        <v>348904</v>
      </c>
      <c r="H785" s="215">
        <f>101*450+22*450+4*1080+4*810+31*450-810+9*300-3150+675*11-675*3+450*7+150*3</f>
        <v>84600</v>
      </c>
      <c r="I785" s="214">
        <f>G785-H785</f>
        <v>264304</v>
      </c>
      <c r="J785" s="214"/>
    </row>
    <row r="786" spans="1:10" s="21" customFormat="1" ht="12.75">
      <c r="A786" s="22" t="s">
        <v>237</v>
      </c>
      <c r="B786" s="164" t="s">
        <v>236</v>
      </c>
      <c r="C786" s="164" t="s">
        <v>238</v>
      </c>
      <c r="D786" s="164" t="s">
        <v>239</v>
      </c>
      <c r="E786" s="164"/>
      <c r="F786" s="164"/>
      <c r="G786" s="219">
        <f aca="true" t="shared" si="12" ref="G786:J787">G787</f>
        <v>79000</v>
      </c>
      <c r="H786" s="220">
        <f t="shared" si="12"/>
        <v>43125.09</v>
      </c>
      <c r="I786" s="219">
        <f t="shared" si="12"/>
        <v>35874.91</v>
      </c>
      <c r="J786" s="219">
        <f t="shared" si="12"/>
        <v>0</v>
      </c>
    </row>
    <row r="787" spans="1:10" s="21" customFormat="1" ht="12.75">
      <c r="A787" s="11" t="s">
        <v>42</v>
      </c>
      <c r="B787" s="20" t="s">
        <v>236</v>
      </c>
      <c r="C787" s="20" t="s">
        <v>276</v>
      </c>
      <c r="D787" s="20" t="s">
        <v>239</v>
      </c>
      <c r="E787" s="20" t="s">
        <v>43</v>
      </c>
      <c r="F787" s="20"/>
      <c r="G787" s="214">
        <f t="shared" si="12"/>
        <v>79000</v>
      </c>
      <c r="H787" s="215">
        <f t="shared" si="12"/>
        <v>43125.09</v>
      </c>
      <c r="I787" s="214">
        <f t="shared" si="12"/>
        <v>35874.91</v>
      </c>
      <c r="J787" s="214">
        <f t="shared" si="12"/>
        <v>0</v>
      </c>
    </row>
    <row r="788" spans="1:10" s="21" customFormat="1" ht="12.75">
      <c r="A788" s="11" t="s">
        <v>44</v>
      </c>
      <c r="B788" s="20" t="s">
        <v>236</v>
      </c>
      <c r="C788" s="20" t="s">
        <v>276</v>
      </c>
      <c r="D788" s="20" t="s">
        <v>239</v>
      </c>
      <c r="E788" s="20" t="s">
        <v>45</v>
      </c>
      <c r="F788" s="20" t="s">
        <v>369</v>
      </c>
      <c r="G788" s="214">
        <v>79000</v>
      </c>
      <c r="H788" s="215">
        <f>43125.09-43125.09+43125.09</f>
        <v>43125.09</v>
      </c>
      <c r="I788" s="214">
        <f>G788-H788</f>
        <v>35874.91</v>
      </c>
      <c r="J788" s="214"/>
    </row>
    <row r="789" spans="1:10" s="21" customFormat="1" ht="18" customHeight="1">
      <c r="A789" s="22" t="s">
        <v>279</v>
      </c>
      <c r="B789" s="14" t="s">
        <v>236</v>
      </c>
      <c r="C789" s="14" t="s">
        <v>280</v>
      </c>
      <c r="D789" s="14" t="s">
        <v>281</v>
      </c>
      <c r="E789" s="14"/>
      <c r="F789" s="14"/>
      <c r="G789" s="211">
        <f aca="true" t="shared" si="13" ref="G789:J793">G790</f>
        <v>235000</v>
      </c>
      <c r="H789" s="196">
        <f t="shared" si="13"/>
        <v>235000</v>
      </c>
      <c r="I789" s="211">
        <f t="shared" si="13"/>
        <v>0</v>
      </c>
      <c r="J789" s="211">
        <f t="shared" si="13"/>
        <v>0</v>
      </c>
    </row>
    <row r="790" spans="1:10" s="21" customFormat="1" ht="12.75">
      <c r="A790" s="11" t="s">
        <v>15</v>
      </c>
      <c r="B790" s="20" t="s">
        <v>236</v>
      </c>
      <c r="C790" s="20" t="s">
        <v>280</v>
      </c>
      <c r="D790" s="20" t="s">
        <v>281</v>
      </c>
      <c r="E790" s="20" t="s">
        <v>16</v>
      </c>
      <c r="F790" s="20"/>
      <c r="G790" s="214">
        <f t="shared" si="13"/>
        <v>235000</v>
      </c>
      <c r="H790" s="215">
        <f t="shared" si="13"/>
        <v>235000</v>
      </c>
      <c r="I790" s="214">
        <f t="shared" si="13"/>
        <v>0</v>
      </c>
      <c r="J790" s="214">
        <f t="shared" si="13"/>
        <v>0</v>
      </c>
    </row>
    <row r="791" spans="1:10" s="21" customFormat="1" ht="12.75">
      <c r="A791" s="11" t="s">
        <v>37</v>
      </c>
      <c r="B791" s="20" t="s">
        <v>236</v>
      </c>
      <c r="C791" s="20" t="s">
        <v>280</v>
      </c>
      <c r="D791" s="20" t="s">
        <v>281</v>
      </c>
      <c r="E791" s="20" t="s">
        <v>38</v>
      </c>
      <c r="F791" s="20"/>
      <c r="G791" s="214">
        <f t="shared" si="13"/>
        <v>235000</v>
      </c>
      <c r="H791" s="215">
        <f t="shared" si="13"/>
        <v>235000</v>
      </c>
      <c r="I791" s="214">
        <f t="shared" si="13"/>
        <v>0</v>
      </c>
      <c r="J791" s="214">
        <f t="shared" si="13"/>
        <v>0</v>
      </c>
    </row>
    <row r="792" spans="1:10" s="21" customFormat="1" ht="25.5">
      <c r="A792" s="168" t="s">
        <v>354</v>
      </c>
      <c r="B792" s="17"/>
      <c r="C792" s="17"/>
      <c r="D792" s="17"/>
      <c r="E792" s="17"/>
      <c r="F792" s="20" t="s">
        <v>382</v>
      </c>
      <c r="G792" s="186">
        <f t="shared" si="13"/>
        <v>235000</v>
      </c>
      <c r="H792" s="213">
        <f t="shared" si="13"/>
        <v>235000</v>
      </c>
      <c r="I792" s="186">
        <f t="shared" si="13"/>
        <v>0</v>
      </c>
      <c r="J792" s="186">
        <f t="shared" si="13"/>
        <v>0</v>
      </c>
    </row>
    <row r="793" spans="1:10" s="21" customFormat="1" ht="12.75">
      <c r="A793" s="11" t="s">
        <v>283</v>
      </c>
      <c r="B793" s="20"/>
      <c r="C793" s="20"/>
      <c r="D793" s="20"/>
      <c r="E793" s="20"/>
      <c r="F793" s="20"/>
      <c r="G793" s="214">
        <f t="shared" si="13"/>
        <v>235000</v>
      </c>
      <c r="H793" s="215">
        <f t="shared" si="13"/>
        <v>235000</v>
      </c>
      <c r="I793" s="214">
        <f t="shared" si="13"/>
        <v>0</v>
      </c>
      <c r="J793" s="214">
        <f t="shared" si="13"/>
        <v>0</v>
      </c>
    </row>
    <row r="794" spans="1:10" s="21" customFormat="1" ht="24.75" customHeight="1">
      <c r="A794" s="11" t="s">
        <v>282</v>
      </c>
      <c r="B794" s="20"/>
      <c r="C794" s="20"/>
      <c r="D794" s="20"/>
      <c r="E794" s="20"/>
      <c r="F794" s="20"/>
      <c r="G794" s="214">
        <v>235000</v>
      </c>
      <c r="H794" s="215">
        <f>14800+5000+2000+2000+5000+4000+6000+4000+2000+1818+188382</f>
        <v>235000</v>
      </c>
      <c r="I794" s="214">
        <f>G794-H794</f>
        <v>0</v>
      </c>
      <c r="J794" s="214"/>
    </row>
    <row r="795" spans="1:10" s="21" customFormat="1" ht="12.75">
      <c r="A795" s="125" t="s">
        <v>290</v>
      </c>
      <c r="B795" s="14" t="s">
        <v>240</v>
      </c>
      <c r="C795" s="14" t="s">
        <v>88</v>
      </c>
      <c r="D795" s="14" t="s">
        <v>2</v>
      </c>
      <c r="E795" s="20"/>
      <c r="F795" s="20"/>
      <c r="G795" s="211">
        <f aca="true" t="shared" si="14" ref="G795:J797">G796</f>
        <v>2068975</v>
      </c>
      <c r="H795" s="196">
        <f t="shared" si="14"/>
        <v>2068974.9899999998</v>
      </c>
      <c r="I795" s="211">
        <f t="shared" si="14"/>
        <v>0.01000000024214387</v>
      </c>
      <c r="J795" s="211">
        <f t="shared" si="14"/>
        <v>0</v>
      </c>
    </row>
    <row r="796" spans="1:10" s="21" customFormat="1" ht="25.5">
      <c r="A796" s="125" t="s">
        <v>291</v>
      </c>
      <c r="B796" s="14" t="s">
        <v>292</v>
      </c>
      <c r="C796" s="14" t="s">
        <v>88</v>
      </c>
      <c r="D796" s="14" t="s">
        <v>2</v>
      </c>
      <c r="E796" s="20"/>
      <c r="F796" s="20"/>
      <c r="G796" s="211">
        <f t="shared" si="14"/>
        <v>2068975</v>
      </c>
      <c r="H796" s="196">
        <f t="shared" si="14"/>
        <v>2068974.9899999998</v>
      </c>
      <c r="I796" s="211">
        <f t="shared" si="14"/>
        <v>0.01000000024214387</v>
      </c>
      <c r="J796" s="211">
        <f t="shared" si="14"/>
        <v>0</v>
      </c>
    </row>
    <row r="797" spans="1:10" s="21" customFormat="1" ht="12.75">
      <c r="A797" s="6" t="s">
        <v>293</v>
      </c>
      <c r="B797" s="20" t="s">
        <v>292</v>
      </c>
      <c r="C797" s="20" t="s">
        <v>294</v>
      </c>
      <c r="D797" s="20" t="s">
        <v>2</v>
      </c>
      <c r="E797" s="20"/>
      <c r="F797" s="20"/>
      <c r="G797" s="214">
        <f t="shared" si="14"/>
        <v>2068975</v>
      </c>
      <c r="H797" s="215">
        <f t="shared" si="14"/>
        <v>2068974.9899999998</v>
      </c>
      <c r="I797" s="214">
        <f t="shared" si="14"/>
        <v>0.01000000024214387</v>
      </c>
      <c r="J797" s="214">
        <f t="shared" si="14"/>
        <v>0</v>
      </c>
    </row>
    <row r="798" spans="1:10" s="21" customFormat="1" ht="38.25">
      <c r="A798" s="6" t="s">
        <v>296</v>
      </c>
      <c r="B798" s="20" t="s">
        <v>292</v>
      </c>
      <c r="C798" s="20" t="s">
        <v>294</v>
      </c>
      <c r="D798" s="20" t="s">
        <v>295</v>
      </c>
      <c r="E798" s="20" t="s">
        <v>404</v>
      </c>
      <c r="F798" s="20" t="s">
        <v>369</v>
      </c>
      <c r="G798" s="214">
        <v>2068975</v>
      </c>
      <c r="H798" s="215">
        <f>689658.33+689658.33+689658.33</f>
        <v>2068974.9899999998</v>
      </c>
      <c r="I798" s="214">
        <f>G798-H798</f>
        <v>0.01000000024214387</v>
      </c>
      <c r="J798" s="214"/>
    </row>
    <row r="799" spans="1:10" s="45" customFormat="1" ht="15.75">
      <c r="A799" s="170" t="s">
        <v>230</v>
      </c>
      <c r="B799" s="171"/>
      <c r="C799" s="171"/>
      <c r="D799" s="171"/>
      <c r="E799" s="171"/>
      <c r="F799" s="171"/>
      <c r="G799" s="230">
        <f>G781+G772+G679+G343+G327+G10+G795+G320+G316</f>
        <v>12592410.5</v>
      </c>
      <c r="H799" s="230">
        <f>H781+H772+H679+H343+H327+H10+H795+H320+H316</f>
        <v>7349623.6899999995</v>
      </c>
      <c r="I799" s="230">
        <f>I781+I772+I679+I343+I327+I10+I795+I320+I316</f>
        <v>5242786.8100000005</v>
      </c>
      <c r="J799" s="230">
        <f>J781+J772+J679+J343+J327+J10+J795+J320+J316</f>
        <v>0</v>
      </c>
    </row>
    <row r="800" spans="1:10" s="45" customFormat="1" ht="15.75">
      <c r="A800" s="177"/>
      <c r="B800" s="178"/>
      <c r="C800" s="178"/>
      <c r="D800" s="178"/>
      <c r="E800" s="178"/>
      <c r="F800" s="178"/>
      <c r="G800" s="231">
        <v>12592410.5</v>
      </c>
      <c r="H800" s="230">
        <v>7349623.69</v>
      </c>
      <c r="I800" s="231"/>
      <c r="J800" s="231"/>
    </row>
    <row r="801" spans="1:10" s="45" customFormat="1" ht="15.75">
      <c r="A801" s="179"/>
      <c r="B801" s="180"/>
      <c r="C801" s="180"/>
      <c r="D801" s="180"/>
      <c r="E801" s="180"/>
      <c r="F801" s="180"/>
      <c r="G801" s="266">
        <f>G800-G799</f>
        <v>0</v>
      </c>
      <c r="H801" s="265">
        <f>H799-H800</f>
        <v>0</v>
      </c>
      <c r="I801" s="181"/>
      <c r="J801" s="181"/>
    </row>
    <row r="802" spans="1:10" s="45" customFormat="1" ht="17.25" customHeight="1">
      <c r="A802" s="179" t="s">
        <v>333</v>
      </c>
      <c r="B802" s="180"/>
      <c r="C802" s="180"/>
      <c r="D802" s="180"/>
      <c r="E802" s="180"/>
      <c r="F802" s="180"/>
      <c r="G802" s="181"/>
      <c r="H802" s="191" t="s">
        <v>415</v>
      </c>
      <c r="I802" s="181"/>
      <c r="J802" s="181"/>
    </row>
    <row r="803" spans="1:10" s="45" customFormat="1" ht="17.25" customHeight="1">
      <c r="A803" s="179" t="s">
        <v>334</v>
      </c>
      <c r="B803" s="180"/>
      <c r="C803" s="180"/>
      <c r="D803" s="180"/>
      <c r="E803" s="180"/>
      <c r="F803" s="180"/>
      <c r="G803" s="181"/>
      <c r="H803" s="191" t="s">
        <v>335</v>
      </c>
      <c r="I803" s="181"/>
      <c r="J803" s="181"/>
    </row>
    <row r="804" spans="1:10" s="45" customFormat="1" ht="17.25" customHeight="1">
      <c r="A804" s="179"/>
      <c r="B804" s="180"/>
      <c r="C804" s="180"/>
      <c r="D804" s="180"/>
      <c r="E804" s="180"/>
      <c r="F804" s="180"/>
      <c r="G804" s="181"/>
      <c r="H804" s="191"/>
      <c r="I804" s="181"/>
      <c r="J804" s="181"/>
    </row>
    <row r="805" spans="1:10" s="45" customFormat="1" ht="17.25" customHeight="1">
      <c r="A805" s="179"/>
      <c r="B805" s="180"/>
      <c r="C805" s="180"/>
      <c r="D805" s="180"/>
      <c r="E805" s="180"/>
      <c r="F805" s="180"/>
      <c r="G805" s="181"/>
      <c r="H805" s="191"/>
      <c r="I805" s="181"/>
      <c r="J805" s="181"/>
    </row>
    <row r="806" spans="1:10" s="45" customFormat="1" ht="15.75">
      <c r="A806" s="179"/>
      <c r="B806" s="180"/>
      <c r="C806" s="180"/>
      <c r="D806" s="180"/>
      <c r="E806" s="180"/>
      <c r="F806" s="180"/>
      <c r="G806" s="181"/>
      <c r="H806" s="191"/>
      <c r="I806" s="181"/>
      <c r="J806" s="181"/>
    </row>
    <row r="807" spans="1:10" s="45" customFormat="1" ht="15.75">
      <c r="A807" s="179" t="s">
        <v>336</v>
      </c>
      <c r="B807" s="180"/>
      <c r="C807" s="180"/>
      <c r="D807" s="180"/>
      <c r="E807" s="180"/>
      <c r="F807" s="180"/>
      <c r="G807" s="181"/>
      <c r="H807" s="191" t="s">
        <v>337</v>
      </c>
      <c r="I807" s="181"/>
      <c r="J807" s="181"/>
    </row>
    <row r="808" spans="1:10" s="45" customFormat="1" ht="15.75">
      <c r="A808" s="179"/>
      <c r="B808" s="180"/>
      <c r="C808" s="180"/>
      <c r="D808" s="180"/>
      <c r="E808" s="180"/>
      <c r="F808" s="180"/>
      <c r="G808" s="181"/>
      <c r="H808" s="191"/>
      <c r="I808" s="181"/>
      <c r="J808" s="181"/>
    </row>
    <row r="809" spans="1:10" s="45" customFormat="1" ht="15.75">
      <c r="A809" s="183" t="s">
        <v>338</v>
      </c>
      <c r="B809" s="180"/>
      <c r="C809" s="180"/>
      <c r="D809" s="180"/>
      <c r="E809" s="180"/>
      <c r="F809" s="180"/>
      <c r="G809" s="181"/>
      <c r="H809" s="191"/>
      <c r="I809" s="181"/>
      <c r="J809" s="181"/>
    </row>
    <row r="810" spans="1:10" s="45" customFormat="1" ht="15.75">
      <c r="A810" s="179"/>
      <c r="B810" s="180"/>
      <c r="C810" s="180"/>
      <c r="D810" s="180"/>
      <c r="E810" s="180"/>
      <c r="F810" s="180"/>
      <c r="G810" s="181"/>
      <c r="H810" s="191"/>
      <c r="I810" s="181"/>
      <c r="J810" s="181"/>
    </row>
    <row r="811" spans="1:10" s="45" customFormat="1" ht="15.75">
      <c r="A811" s="184" t="s">
        <v>339</v>
      </c>
      <c r="B811" s="180"/>
      <c r="C811" s="180"/>
      <c r="D811" s="180"/>
      <c r="E811" s="180"/>
      <c r="F811" s="180"/>
      <c r="G811" s="181"/>
      <c r="H811" s="191"/>
      <c r="I811" s="181"/>
      <c r="J811" s="181"/>
    </row>
    <row r="812" spans="1:10" ht="12.75">
      <c r="A812" s="184" t="s">
        <v>340</v>
      </c>
      <c r="B812" s="182"/>
      <c r="C812" s="182"/>
      <c r="D812" s="182"/>
      <c r="E812" s="182"/>
      <c r="F812" s="182"/>
      <c r="G812" s="31"/>
      <c r="I812" s="31"/>
      <c r="J812" s="31"/>
    </row>
  </sheetData>
  <mergeCells count="6">
    <mergeCell ref="A4:G4"/>
    <mergeCell ref="H8:H9"/>
    <mergeCell ref="I8:I9"/>
    <mergeCell ref="J8:J9"/>
    <mergeCell ref="G8:G9"/>
    <mergeCell ref="A8:F8"/>
  </mergeCells>
  <printOptions horizontalCentered="1"/>
  <pageMargins left="0.3937007874015748" right="0.24" top="0.47" bottom="0.49" header="0.17" footer="0.1968503937007874"/>
  <pageSetup horizontalDpi="600" verticalDpi="600" orientation="portrait" paperSize="9" scale="55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21"/>
  <sheetViews>
    <sheetView zoomScale="99" zoomScaleNormal="99" zoomScaleSheetLayoutView="99" workbookViewId="0" topLeftCell="B237">
      <selection activeCell="K242" sqref="K242"/>
    </sheetView>
  </sheetViews>
  <sheetFormatPr defaultColWidth="9.00390625" defaultRowHeight="12.75"/>
  <cols>
    <col min="1" max="1" width="45.375" style="13" customWidth="1"/>
    <col min="2" max="2" width="6.125" style="3" customWidth="1"/>
    <col min="3" max="3" width="9.00390625" style="3" customWidth="1"/>
    <col min="4" max="5" width="4.75390625" style="3" customWidth="1"/>
    <col min="6" max="6" width="10.00390625" style="3" customWidth="1"/>
    <col min="7" max="7" width="20.125" style="0" customWidth="1"/>
    <col min="8" max="8" width="19.00390625" style="0" customWidth="1"/>
    <col min="9" max="9" width="19.375" style="189" customWidth="1"/>
    <col min="10" max="10" width="19.75390625" style="0" customWidth="1"/>
    <col min="11" max="11" width="14.375" style="0" customWidth="1"/>
  </cols>
  <sheetData>
    <row r="1" spans="7:11" ht="12.75">
      <c r="G1" s="18"/>
      <c r="H1" s="18"/>
      <c r="J1" s="18"/>
      <c r="K1" s="18"/>
    </row>
    <row r="2" spans="1:11" ht="12.75">
      <c r="A2" s="169"/>
      <c r="B2" s="169"/>
      <c r="C2" s="169"/>
      <c r="D2" s="169"/>
      <c r="E2" s="169"/>
      <c r="F2" s="169"/>
      <c r="G2" s="169"/>
      <c r="H2" s="169"/>
      <c r="J2" s="18"/>
      <c r="K2" s="18"/>
    </row>
    <row r="3" spans="1:11" ht="18">
      <c r="A3" s="94"/>
      <c r="B3" s="94"/>
      <c r="C3" s="94"/>
      <c r="D3" s="94"/>
      <c r="E3" s="95"/>
      <c r="F3" s="21"/>
      <c r="G3" s="291" t="s">
        <v>453</v>
      </c>
      <c r="H3" s="291"/>
      <c r="I3" s="291"/>
      <c r="J3" s="291"/>
      <c r="K3" s="291"/>
    </row>
    <row r="4" spans="1:9" ht="15.75">
      <c r="A4" s="267"/>
      <c r="B4" s="267"/>
      <c r="C4" s="267"/>
      <c r="D4" s="267"/>
      <c r="E4" s="267"/>
      <c r="F4" s="267"/>
      <c r="G4" s="267"/>
      <c r="H4" s="267"/>
      <c r="I4" s="190"/>
    </row>
    <row r="5" spans="1:9" ht="15.75">
      <c r="A5" s="146"/>
      <c r="B5" s="146"/>
      <c r="C5" s="146"/>
      <c r="D5" s="146"/>
      <c r="E5" s="147"/>
      <c r="F5" s="148"/>
      <c r="G5" s="148"/>
      <c r="H5" s="148"/>
      <c r="I5" s="190"/>
    </row>
    <row r="6" spans="1:11" ht="15.75">
      <c r="A6" s="290" t="s">
        <v>452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</row>
    <row r="7" spans="1:9" ht="15.75">
      <c r="A7" s="146"/>
      <c r="B7" s="146"/>
      <c r="C7" s="146"/>
      <c r="D7" s="146"/>
      <c r="E7" s="147"/>
      <c r="F7" s="148"/>
      <c r="G7" s="148"/>
      <c r="H7" s="148"/>
      <c r="I7" s="190"/>
    </row>
    <row r="8" spans="1:11" ht="12.75" customHeight="1">
      <c r="A8" s="280" t="s">
        <v>0</v>
      </c>
      <c r="B8" s="281"/>
      <c r="C8" s="281"/>
      <c r="D8" s="281"/>
      <c r="E8" s="281"/>
      <c r="F8" s="282"/>
      <c r="G8" s="276" t="s">
        <v>433</v>
      </c>
      <c r="H8" s="276" t="s">
        <v>434</v>
      </c>
      <c r="I8" s="288" t="s">
        <v>436</v>
      </c>
      <c r="J8" s="276" t="s">
        <v>435</v>
      </c>
      <c r="K8" s="276" t="s">
        <v>446</v>
      </c>
    </row>
    <row r="9" spans="1:11" ht="24.75" customHeight="1">
      <c r="A9" s="1" t="s">
        <v>1</v>
      </c>
      <c r="B9" s="2" t="s">
        <v>164</v>
      </c>
      <c r="C9" s="2" t="s">
        <v>165</v>
      </c>
      <c r="D9" s="2" t="s">
        <v>166</v>
      </c>
      <c r="E9" s="2" t="s">
        <v>167</v>
      </c>
      <c r="F9" s="2" t="s">
        <v>168</v>
      </c>
      <c r="G9" s="277"/>
      <c r="H9" s="292"/>
      <c r="I9" s="289"/>
      <c r="J9" s="277"/>
      <c r="K9" s="277"/>
    </row>
    <row r="10" spans="1:11" ht="12.75">
      <c r="A10" s="47" t="s">
        <v>3</v>
      </c>
      <c r="B10" s="48" t="s">
        <v>144</v>
      </c>
      <c r="C10" s="48" t="s">
        <v>82</v>
      </c>
      <c r="D10" s="48" t="s">
        <v>2</v>
      </c>
      <c r="E10" s="48"/>
      <c r="F10" s="48"/>
      <c r="G10" s="192">
        <f>G11+G201+G267</f>
        <v>34306037.9</v>
      </c>
      <c r="H10" s="192">
        <f>H11+H201+H267</f>
        <v>22434516</v>
      </c>
      <c r="I10" s="192">
        <f>I11+I201+I267</f>
        <v>13945616.230000002</v>
      </c>
      <c r="J10" s="192">
        <f>J11+J201+J267</f>
        <v>12764392.38</v>
      </c>
      <c r="K10" s="192">
        <f>J10*100/I10</f>
        <v>91.52978376488709</v>
      </c>
    </row>
    <row r="11" spans="1:11" ht="25.5">
      <c r="A11" s="112" t="s">
        <v>231</v>
      </c>
      <c r="B11" s="113" t="s">
        <v>145</v>
      </c>
      <c r="C11" s="113" t="s">
        <v>232</v>
      </c>
      <c r="D11" s="113" t="s">
        <v>2</v>
      </c>
      <c r="E11" s="113"/>
      <c r="F11" s="113"/>
      <c r="G11" s="192">
        <f aca="true" t="shared" si="0" ref="G11:J12">G12</f>
        <v>737130</v>
      </c>
      <c r="H11" s="192">
        <f t="shared" si="0"/>
        <v>363090</v>
      </c>
      <c r="I11" s="192">
        <f t="shared" si="0"/>
        <v>144781.32</v>
      </c>
      <c r="J11" s="192">
        <f t="shared" si="0"/>
        <v>92379.32</v>
      </c>
      <c r="K11" s="192">
        <f aca="true" t="shared" si="1" ref="K11:K74">J11*100/I11</f>
        <v>63.806104268147294</v>
      </c>
    </row>
    <row r="12" spans="1:11" ht="25.5">
      <c r="A12" s="8" t="s">
        <v>171</v>
      </c>
      <c r="B12" s="4" t="s">
        <v>145</v>
      </c>
      <c r="C12" s="4" t="s">
        <v>232</v>
      </c>
      <c r="D12" s="4" t="s">
        <v>2</v>
      </c>
      <c r="E12" s="4"/>
      <c r="F12" s="4"/>
      <c r="G12" s="194">
        <f t="shared" si="0"/>
        <v>737130</v>
      </c>
      <c r="H12" s="194">
        <f t="shared" si="0"/>
        <v>363090</v>
      </c>
      <c r="I12" s="194">
        <f t="shared" si="0"/>
        <v>144781.32</v>
      </c>
      <c r="J12" s="194">
        <f t="shared" si="0"/>
        <v>92379.32</v>
      </c>
      <c r="K12" s="192">
        <f t="shared" si="1"/>
        <v>63.806104268147294</v>
      </c>
    </row>
    <row r="13" spans="1:11" ht="12.75">
      <c r="A13" s="10" t="s">
        <v>174</v>
      </c>
      <c r="B13" s="14" t="s">
        <v>145</v>
      </c>
      <c r="C13" s="14" t="s">
        <v>232</v>
      </c>
      <c r="D13" s="14" t="s">
        <v>175</v>
      </c>
      <c r="E13" s="14" t="s">
        <v>2</v>
      </c>
      <c r="F13" s="14"/>
      <c r="G13" s="195">
        <f>G14+G166+G191+G189</f>
        <v>737130</v>
      </c>
      <c r="H13" s="195">
        <f>H14+H166+H191+H189</f>
        <v>363090</v>
      </c>
      <c r="I13" s="195">
        <f>I14+I166+I191+I189</f>
        <v>144781.32</v>
      </c>
      <c r="J13" s="195">
        <f>J14+J166+J191+J189</f>
        <v>92379.32</v>
      </c>
      <c r="K13" s="192">
        <f t="shared" si="1"/>
        <v>63.806104268147294</v>
      </c>
    </row>
    <row r="14" spans="1:11" ht="12.75">
      <c r="A14" s="10" t="s">
        <v>4</v>
      </c>
      <c r="B14" s="14" t="s">
        <v>145</v>
      </c>
      <c r="C14" s="14" t="s">
        <v>232</v>
      </c>
      <c r="D14" s="14" t="s">
        <v>175</v>
      </c>
      <c r="E14" s="14" t="s">
        <v>5</v>
      </c>
      <c r="F14" s="14"/>
      <c r="G14" s="197">
        <f>G15+G16+G165</f>
        <v>51630</v>
      </c>
      <c r="H14" s="197">
        <f>H15+H16+H165</f>
        <v>47210</v>
      </c>
      <c r="I14" s="197">
        <f>I15+I16+I165</f>
        <v>1360</v>
      </c>
      <c r="J14" s="197">
        <f>J15+J16+J165</f>
        <v>1360</v>
      </c>
      <c r="K14" s="192">
        <f t="shared" si="1"/>
        <v>100</v>
      </c>
    </row>
    <row r="15" spans="1:11" ht="12.75">
      <c r="A15" s="19" t="s">
        <v>6</v>
      </c>
      <c r="B15" s="20" t="s">
        <v>145</v>
      </c>
      <c r="C15" s="20" t="s">
        <v>232</v>
      </c>
      <c r="D15" s="20" t="s">
        <v>175</v>
      </c>
      <c r="E15" s="20" t="s">
        <v>7</v>
      </c>
      <c r="F15" s="20" t="s">
        <v>369</v>
      </c>
      <c r="G15" s="200"/>
      <c r="H15" s="200"/>
      <c r="I15" s="199"/>
      <c r="J15" s="200"/>
      <c r="K15" s="192"/>
    </row>
    <row r="16" spans="1:11" ht="12.75">
      <c r="A16" s="8" t="s">
        <v>233</v>
      </c>
      <c r="B16" s="20" t="s">
        <v>145</v>
      </c>
      <c r="C16" s="20" t="s">
        <v>232</v>
      </c>
      <c r="D16" s="20" t="s">
        <v>175</v>
      </c>
      <c r="E16" s="4" t="s">
        <v>9</v>
      </c>
      <c r="F16" s="4"/>
      <c r="G16" s="201">
        <f>G162+G163+G164</f>
        <v>51630</v>
      </c>
      <c r="H16" s="201">
        <f>H162+H163+H164</f>
        <v>47210</v>
      </c>
      <c r="I16" s="201">
        <f>I162+I163+I164</f>
        <v>1360</v>
      </c>
      <c r="J16" s="201">
        <f>J162+J163+J164</f>
        <v>1360</v>
      </c>
      <c r="K16" s="192">
        <f t="shared" si="1"/>
        <v>100</v>
      </c>
    </row>
    <row r="17" spans="1:11" s="78" customFormat="1" ht="38.25" customHeight="1" hidden="1">
      <c r="A17" s="47" t="s">
        <v>169</v>
      </c>
      <c r="B17" s="48" t="s">
        <v>170</v>
      </c>
      <c r="C17" s="48" t="s">
        <v>88</v>
      </c>
      <c r="D17" s="48" t="s">
        <v>2</v>
      </c>
      <c r="E17" s="48" t="s">
        <v>2</v>
      </c>
      <c r="F17" s="48"/>
      <c r="G17" s="203"/>
      <c r="H17" s="203"/>
      <c r="I17" s="199"/>
      <c r="J17" s="203"/>
      <c r="K17" s="192" t="e">
        <f t="shared" si="1"/>
        <v>#DIV/0!</v>
      </c>
    </row>
    <row r="18" spans="1:11" s="78" customFormat="1" ht="25.5" customHeight="1" hidden="1">
      <c r="A18" s="79" t="s">
        <v>171</v>
      </c>
      <c r="B18" s="80" t="s">
        <v>170</v>
      </c>
      <c r="C18" s="80" t="s">
        <v>82</v>
      </c>
      <c r="D18" s="80" t="s">
        <v>2</v>
      </c>
      <c r="E18" s="80" t="s">
        <v>2</v>
      </c>
      <c r="F18" s="48"/>
      <c r="G18" s="203"/>
      <c r="H18" s="203"/>
      <c r="I18" s="199"/>
      <c r="J18" s="203"/>
      <c r="K18" s="192" t="e">
        <f t="shared" si="1"/>
        <v>#DIV/0!</v>
      </c>
    </row>
    <row r="19" spans="1:11" s="83" customFormat="1" ht="25.5" customHeight="1" hidden="1">
      <c r="A19" s="81" t="s">
        <v>172</v>
      </c>
      <c r="B19" s="82" t="s">
        <v>170</v>
      </c>
      <c r="C19" s="82" t="s">
        <v>82</v>
      </c>
      <c r="D19" s="82" t="s">
        <v>173</v>
      </c>
      <c r="E19" s="82" t="s">
        <v>2</v>
      </c>
      <c r="F19" s="82"/>
      <c r="G19" s="206"/>
      <c r="H19" s="206"/>
      <c r="I19" s="205"/>
      <c r="J19" s="206"/>
      <c r="K19" s="192" t="e">
        <f t="shared" si="1"/>
        <v>#DIV/0!</v>
      </c>
    </row>
    <row r="20" spans="1:11" s="72" customFormat="1" ht="12.75" customHeight="1" hidden="1">
      <c r="A20" s="43" t="s">
        <v>4</v>
      </c>
      <c r="B20" s="44"/>
      <c r="C20" s="44"/>
      <c r="D20" s="44"/>
      <c r="E20" s="44" t="s">
        <v>5</v>
      </c>
      <c r="F20" s="44"/>
      <c r="G20" s="207"/>
      <c r="H20" s="207"/>
      <c r="I20" s="198"/>
      <c r="J20" s="207"/>
      <c r="K20" s="192" t="e">
        <f t="shared" si="1"/>
        <v>#DIV/0!</v>
      </c>
    </row>
    <row r="21" spans="1:11" s="92" customFormat="1" ht="12.75" customHeight="1" hidden="1">
      <c r="A21" s="87" t="s">
        <v>6</v>
      </c>
      <c r="B21" s="27"/>
      <c r="C21" s="27"/>
      <c r="D21" s="27"/>
      <c r="E21" s="27" t="s">
        <v>7</v>
      </c>
      <c r="F21" s="27"/>
      <c r="G21" s="209"/>
      <c r="H21" s="209"/>
      <c r="I21" s="202"/>
      <c r="J21" s="209"/>
      <c r="K21" s="192" t="e">
        <f t="shared" si="1"/>
        <v>#DIV/0!</v>
      </c>
    </row>
    <row r="22" spans="1:11" s="92" customFormat="1" ht="12.75" customHeight="1" hidden="1">
      <c r="A22" s="87" t="s">
        <v>13</v>
      </c>
      <c r="B22" s="27"/>
      <c r="C22" s="27"/>
      <c r="D22" s="27"/>
      <c r="E22" s="27" t="s">
        <v>14</v>
      </c>
      <c r="F22" s="27"/>
      <c r="G22" s="209"/>
      <c r="H22" s="209"/>
      <c r="I22" s="202"/>
      <c r="J22" s="209"/>
      <c r="K22" s="192" t="e">
        <f t="shared" si="1"/>
        <v>#DIV/0!</v>
      </c>
    </row>
    <row r="23" spans="1:11" s="31" customFormat="1" ht="12.75" customHeight="1" hidden="1">
      <c r="A23" s="47" t="s">
        <v>174</v>
      </c>
      <c r="B23" s="48" t="s">
        <v>170</v>
      </c>
      <c r="C23" s="48" t="s">
        <v>82</v>
      </c>
      <c r="D23" s="48" t="s">
        <v>175</v>
      </c>
      <c r="E23" s="48" t="s">
        <v>2</v>
      </c>
      <c r="F23" s="48"/>
      <c r="G23" s="210"/>
      <c r="H23" s="210"/>
      <c r="I23" s="199"/>
      <c r="J23" s="210"/>
      <c r="K23" s="192" t="e">
        <f t="shared" si="1"/>
        <v>#DIV/0!</v>
      </c>
    </row>
    <row r="24" spans="1:11" s="31" customFormat="1" ht="15" customHeight="1" hidden="1">
      <c r="A24" s="10" t="s">
        <v>4</v>
      </c>
      <c r="B24" s="25" t="s">
        <v>170</v>
      </c>
      <c r="C24" s="25" t="s">
        <v>82</v>
      </c>
      <c r="D24" s="25" t="s">
        <v>175</v>
      </c>
      <c r="E24" s="14" t="s">
        <v>5</v>
      </c>
      <c r="F24" s="14"/>
      <c r="G24" s="210"/>
      <c r="H24" s="210"/>
      <c r="I24" s="199"/>
      <c r="J24" s="210"/>
      <c r="K24" s="192" t="e">
        <f t="shared" si="1"/>
        <v>#DIV/0!</v>
      </c>
    </row>
    <row r="25" spans="1:11" s="92" customFormat="1" ht="12.75" customHeight="1" hidden="1">
      <c r="A25" s="87" t="s">
        <v>6</v>
      </c>
      <c r="B25" s="89" t="s">
        <v>170</v>
      </c>
      <c r="C25" s="89" t="s">
        <v>82</v>
      </c>
      <c r="D25" s="89" t="s">
        <v>175</v>
      </c>
      <c r="E25" s="27" t="s">
        <v>7</v>
      </c>
      <c r="F25" s="27"/>
      <c r="G25" s="209"/>
      <c r="H25" s="209"/>
      <c r="I25" s="202"/>
      <c r="J25" s="209"/>
      <c r="K25" s="192" t="e">
        <f t="shared" si="1"/>
        <v>#DIV/0!</v>
      </c>
    </row>
    <row r="26" spans="1:11" s="92" customFormat="1" ht="12.75" customHeight="1" hidden="1">
      <c r="A26" s="87" t="s">
        <v>8</v>
      </c>
      <c r="B26" s="89" t="s">
        <v>170</v>
      </c>
      <c r="C26" s="89" t="s">
        <v>82</v>
      </c>
      <c r="D26" s="89" t="s">
        <v>175</v>
      </c>
      <c r="E26" s="27" t="s">
        <v>9</v>
      </c>
      <c r="F26" s="27"/>
      <c r="G26" s="209"/>
      <c r="H26" s="209"/>
      <c r="I26" s="202"/>
      <c r="J26" s="209"/>
      <c r="K26" s="192" t="e">
        <f t="shared" si="1"/>
        <v>#DIV/0!</v>
      </c>
    </row>
    <row r="27" spans="1:11" s="31" customFormat="1" ht="25.5" customHeight="1" hidden="1">
      <c r="A27" s="11" t="s">
        <v>10</v>
      </c>
      <c r="B27" s="91"/>
      <c r="C27" s="91"/>
      <c r="D27" s="91"/>
      <c r="E27" s="4"/>
      <c r="F27" s="4" t="s">
        <v>183</v>
      </c>
      <c r="G27" s="210"/>
      <c r="H27" s="210"/>
      <c r="I27" s="199"/>
      <c r="J27" s="210"/>
      <c r="K27" s="192" t="e">
        <f t="shared" si="1"/>
        <v>#DIV/0!</v>
      </c>
    </row>
    <row r="28" spans="1:11" s="31" customFormat="1" ht="12.75" customHeight="1" hidden="1">
      <c r="A28" s="12" t="s">
        <v>11</v>
      </c>
      <c r="B28" s="91"/>
      <c r="C28" s="91"/>
      <c r="D28" s="91"/>
      <c r="E28" s="4"/>
      <c r="F28" s="4"/>
      <c r="G28" s="210"/>
      <c r="H28" s="210"/>
      <c r="I28" s="199"/>
      <c r="J28" s="210"/>
      <c r="K28" s="192" t="e">
        <f t="shared" si="1"/>
        <v>#DIV/0!</v>
      </c>
    </row>
    <row r="29" spans="1:11" s="31" customFormat="1" ht="25.5" customHeight="1" hidden="1">
      <c r="A29" s="6" t="s">
        <v>12</v>
      </c>
      <c r="B29" s="91"/>
      <c r="C29" s="91"/>
      <c r="D29" s="91"/>
      <c r="E29" s="4"/>
      <c r="F29" s="4" t="s">
        <v>184</v>
      </c>
      <c r="G29" s="210"/>
      <c r="H29" s="210"/>
      <c r="I29" s="199"/>
      <c r="J29" s="210"/>
      <c r="K29" s="192" t="e">
        <f t="shared" si="1"/>
        <v>#DIV/0!</v>
      </c>
    </row>
    <row r="30" spans="1:11" s="92" customFormat="1" ht="12.75" customHeight="1" hidden="1">
      <c r="A30" s="87" t="s">
        <v>13</v>
      </c>
      <c r="B30" s="89" t="s">
        <v>170</v>
      </c>
      <c r="C30" s="89" t="s">
        <v>82</v>
      </c>
      <c r="D30" s="89" t="s">
        <v>175</v>
      </c>
      <c r="E30" s="27" t="s">
        <v>14</v>
      </c>
      <c r="F30" s="27"/>
      <c r="G30" s="209"/>
      <c r="H30" s="209"/>
      <c r="I30" s="202"/>
      <c r="J30" s="209"/>
      <c r="K30" s="192" t="e">
        <f t="shared" si="1"/>
        <v>#DIV/0!</v>
      </c>
    </row>
    <row r="31" spans="1:11" s="72" customFormat="1" ht="12.75" customHeight="1" hidden="1">
      <c r="A31" s="43" t="s">
        <v>15</v>
      </c>
      <c r="B31" s="70" t="s">
        <v>170</v>
      </c>
      <c r="C31" s="70" t="s">
        <v>82</v>
      </c>
      <c r="D31" s="70" t="s">
        <v>175</v>
      </c>
      <c r="E31" s="44" t="s">
        <v>16</v>
      </c>
      <c r="F31" s="44"/>
      <c r="G31" s="207"/>
      <c r="H31" s="207"/>
      <c r="I31" s="198"/>
      <c r="J31" s="207"/>
      <c r="K31" s="192" t="e">
        <f t="shared" si="1"/>
        <v>#DIV/0!</v>
      </c>
    </row>
    <row r="32" spans="1:11" s="92" customFormat="1" ht="12.75" customHeight="1" hidden="1">
      <c r="A32" s="87" t="s">
        <v>17</v>
      </c>
      <c r="B32" s="89" t="s">
        <v>170</v>
      </c>
      <c r="C32" s="89" t="s">
        <v>82</v>
      </c>
      <c r="D32" s="89" t="s">
        <v>175</v>
      </c>
      <c r="E32" s="27" t="s">
        <v>18</v>
      </c>
      <c r="F32" s="27"/>
      <c r="G32" s="209"/>
      <c r="H32" s="209"/>
      <c r="I32" s="202"/>
      <c r="J32" s="209"/>
      <c r="K32" s="192" t="e">
        <f t="shared" si="1"/>
        <v>#DIV/0!</v>
      </c>
    </row>
    <row r="33" spans="1:11" s="92" customFormat="1" ht="12.75" customHeight="1" hidden="1">
      <c r="A33" s="87" t="s">
        <v>21</v>
      </c>
      <c r="B33" s="89" t="s">
        <v>170</v>
      </c>
      <c r="C33" s="89" t="s">
        <v>82</v>
      </c>
      <c r="D33" s="89" t="s">
        <v>175</v>
      </c>
      <c r="E33" s="27" t="s">
        <v>19</v>
      </c>
      <c r="F33" s="27"/>
      <c r="G33" s="209"/>
      <c r="H33" s="209"/>
      <c r="I33" s="202"/>
      <c r="J33" s="209"/>
      <c r="K33" s="192" t="e">
        <f t="shared" si="1"/>
        <v>#DIV/0!</v>
      </c>
    </row>
    <row r="34" spans="1:11" s="31" customFormat="1" ht="25.5" customHeight="1" hidden="1">
      <c r="A34" s="11" t="s">
        <v>20</v>
      </c>
      <c r="B34" s="91"/>
      <c r="C34" s="91"/>
      <c r="D34" s="91"/>
      <c r="E34" s="4"/>
      <c r="F34" s="4" t="s">
        <v>183</v>
      </c>
      <c r="G34" s="210"/>
      <c r="H34" s="210"/>
      <c r="I34" s="199"/>
      <c r="J34" s="210"/>
      <c r="K34" s="192" t="e">
        <f t="shared" si="1"/>
        <v>#DIV/0!</v>
      </c>
    </row>
    <row r="35" spans="1:11" s="31" customFormat="1" ht="38.25" customHeight="1" hidden="1">
      <c r="A35" s="8" t="s">
        <v>22</v>
      </c>
      <c r="B35" s="91"/>
      <c r="C35" s="91"/>
      <c r="D35" s="91"/>
      <c r="E35" s="4"/>
      <c r="F35" s="4" t="s">
        <v>185</v>
      </c>
      <c r="G35" s="210"/>
      <c r="H35" s="210"/>
      <c r="I35" s="199"/>
      <c r="J35" s="210"/>
      <c r="K35" s="192" t="e">
        <f t="shared" si="1"/>
        <v>#DIV/0!</v>
      </c>
    </row>
    <row r="36" spans="1:11" s="92" customFormat="1" ht="12.75" customHeight="1" hidden="1">
      <c r="A36" s="87" t="s">
        <v>23</v>
      </c>
      <c r="B36" s="89" t="s">
        <v>170</v>
      </c>
      <c r="C36" s="89" t="s">
        <v>82</v>
      </c>
      <c r="D36" s="89" t="s">
        <v>175</v>
      </c>
      <c r="E36" s="27" t="s">
        <v>24</v>
      </c>
      <c r="F36" s="27"/>
      <c r="G36" s="209"/>
      <c r="H36" s="209"/>
      <c r="I36" s="202"/>
      <c r="J36" s="209"/>
      <c r="K36" s="192" t="e">
        <f t="shared" si="1"/>
        <v>#DIV/0!</v>
      </c>
    </row>
    <row r="37" spans="1:11" s="31" customFormat="1" ht="25.5" customHeight="1" hidden="1">
      <c r="A37" s="7" t="s">
        <v>25</v>
      </c>
      <c r="B37" s="91"/>
      <c r="C37" s="91"/>
      <c r="D37" s="91"/>
      <c r="E37" s="4"/>
      <c r="F37" s="4" t="s">
        <v>186</v>
      </c>
      <c r="G37" s="210"/>
      <c r="H37" s="210"/>
      <c r="I37" s="199"/>
      <c r="J37" s="210"/>
      <c r="K37" s="192" t="e">
        <f t="shared" si="1"/>
        <v>#DIV/0!</v>
      </c>
    </row>
    <row r="38" spans="1:11" s="31" customFormat="1" ht="25.5" customHeight="1" hidden="1">
      <c r="A38" s="7" t="s">
        <v>26</v>
      </c>
      <c r="B38" s="91"/>
      <c r="C38" s="91"/>
      <c r="D38" s="91"/>
      <c r="E38" s="4"/>
      <c r="F38" s="4" t="s">
        <v>187</v>
      </c>
      <c r="G38" s="210"/>
      <c r="H38" s="210"/>
      <c r="I38" s="199"/>
      <c r="J38" s="210"/>
      <c r="K38" s="192" t="e">
        <f t="shared" si="1"/>
        <v>#DIV/0!</v>
      </c>
    </row>
    <row r="39" spans="1:11" s="31" customFormat="1" ht="12.75" customHeight="1" hidden="1">
      <c r="A39" s="7" t="s">
        <v>27</v>
      </c>
      <c r="B39" s="91"/>
      <c r="C39" s="91"/>
      <c r="D39" s="91"/>
      <c r="E39" s="4"/>
      <c r="F39" s="4" t="s">
        <v>188</v>
      </c>
      <c r="G39" s="210"/>
      <c r="H39" s="210"/>
      <c r="I39" s="199"/>
      <c r="J39" s="210"/>
      <c r="K39" s="192" t="e">
        <f t="shared" si="1"/>
        <v>#DIV/0!</v>
      </c>
    </row>
    <row r="40" spans="1:11" s="92" customFormat="1" ht="12.75" customHeight="1" hidden="1">
      <c r="A40" s="87" t="s">
        <v>28</v>
      </c>
      <c r="B40" s="89" t="s">
        <v>170</v>
      </c>
      <c r="C40" s="89" t="s">
        <v>82</v>
      </c>
      <c r="D40" s="89" t="s">
        <v>175</v>
      </c>
      <c r="E40" s="27" t="s">
        <v>29</v>
      </c>
      <c r="F40" s="27"/>
      <c r="G40" s="209"/>
      <c r="H40" s="209"/>
      <c r="I40" s="202"/>
      <c r="J40" s="209"/>
      <c r="K40" s="192" t="e">
        <f t="shared" si="1"/>
        <v>#DIV/0!</v>
      </c>
    </row>
    <row r="41" spans="1:11" s="92" customFormat="1" ht="12.75" customHeight="1" hidden="1">
      <c r="A41" s="87" t="s">
        <v>30</v>
      </c>
      <c r="B41" s="89" t="s">
        <v>170</v>
      </c>
      <c r="C41" s="89" t="s">
        <v>82</v>
      </c>
      <c r="D41" s="89" t="s">
        <v>175</v>
      </c>
      <c r="E41" s="27" t="s">
        <v>31</v>
      </c>
      <c r="F41" s="27"/>
      <c r="G41" s="209"/>
      <c r="H41" s="209"/>
      <c r="I41" s="202"/>
      <c r="J41" s="209"/>
      <c r="K41" s="192" t="e">
        <f t="shared" si="1"/>
        <v>#DIV/0!</v>
      </c>
    </row>
    <row r="42" spans="1:11" s="31" customFormat="1" ht="12.75" customHeight="1" hidden="1">
      <c r="A42" s="7" t="s">
        <v>32</v>
      </c>
      <c r="B42" s="91"/>
      <c r="C42" s="91"/>
      <c r="D42" s="91"/>
      <c r="E42" s="17"/>
      <c r="F42" s="17" t="s">
        <v>189</v>
      </c>
      <c r="G42" s="210"/>
      <c r="H42" s="210"/>
      <c r="I42" s="199"/>
      <c r="J42" s="210"/>
      <c r="K42" s="192" t="e">
        <f t="shared" si="1"/>
        <v>#DIV/0!</v>
      </c>
    </row>
    <row r="43" spans="1:11" s="31" customFormat="1" ht="12.75" customHeight="1" hidden="1">
      <c r="A43" s="7" t="s">
        <v>33</v>
      </c>
      <c r="B43" s="91"/>
      <c r="C43" s="91"/>
      <c r="D43" s="91"/>
      <c r="E43" s="17"/>
      <c r="F43" s="17" t="s">
        <v>191</v>
      </c>
      <c r="G43" s="210"/>
      <c r="H43" s="210"/>
      <c r="I43" s="199"/>
      <c r="J43" s="210"/>
      <c r="K43" s="192" t="e">
        <f t="shared" si="1"/>
        <v>#DIV/0!</v>
      </c>
    </row>
    <row r="44" spans="1:11" s="31" customFormat="1" ht="25.5" customHeight="1" hidden="1">
      <c r="A44" s="7" t="s">
        <v>34</v>
      </c>
      <c r="B44" s="91"/>
      <c r="C44" s="91"/>
      <c r="D44" s="91"/>
      <c r="E44" s="17"/>
      <c r="F44" s="17" t="s">
        <v>221</v>
      </c>
      <c r="G44" s="210"/>
      <c r="H44" s="210"/>
      <c r="I44" s="199"/>
      <c r="J44" s="210"/>
      <c r="K44" s="192" t="e">
        <f t="shared" si="1"/>
        <v>#DIV/0!</v>
      </c>
    </row>
    <row r="45" spans="1:11" s="31" customFormat="1" ht="25.5" customHeight="1" hidden="1">
      <c r="A45" s="7" t="s">
        <v>35</v>
      </c>
      <c r="B45" s="91"/>
      <c r="C45" s="91"/>
      <c r="D45" s="91"/>
      <c r="E45" s="17"/>
      <c r="F45" s="17" t="s">
        <v>190</v>
      </c>
      <c r="G45" s="210"/>
      <c r="H45" s="210"/>
      <c r="I45" s="199"/>
      <c r="J45" s="210"/>
      <c r="K45" s="192" t="e">
        <f t="shared" si="1"/>
        <v>#DIV/0!</v>
      </c>
    </row>
    <row r="46" spans="1:11" s="31" customFormat="1" ht="51" customHeight="1" hidden="1">
      <c r="A46" s="7" t="s">
        <v>36</v>
      </c>
      <c r="B46" s="91"/>
      <c r="C46" s="91"/>
      <c r="D46" s="91"/>
      <c r="E46" s="17"/>
      <c r="F46" s="17" t="s">
        <v>224</v>
      </c>
      <c r="G46" s="210"/>
      <c r="H46" s="210"/>
      <c r="I46" s="199"/>
      <c r="J46" s="210"/>
      <c r="K46" s="192" t="e">
        <f t="shared" si="1"/>
        <v>#DIV/0!</v>
      </c>
    </row>
    <row r="47" spans="1:11" s="92" customFormat="1" ht="12.75" customHeight="1" hidden="1">
      <c r="A47" s="87" t="s">
        <v>37</v>
      </c>
      <c r="B47" s="89" t="s">
        <v>170</v>
      </c>
      <c r="C47" s="89" t="s">
        <v>82</v>
      </c>
      <c r="D47" s="89" t="s">
        <v>175</v>
      </c>
      <c r="E47" s="27" t="s">
        <v>38</v>
      </c>
      <c r="F47" s="27"/>
      <c r="G47" s="209"/>
      <c r="H47" s="209"/>
      <c r="I47" s="202"/>
      <c r="J47" s="209"/>
      <c r="K47" s="192" t="e">
        <f t="shared" si="1"/>
        <v>#DIV/0!</v>
      </c>
    </row>
    <row r="48" spans="1:11" s="31" customFormat="1" ht="38.25" customHeight="1" hidden="1">
      <c r="A48" s="11" t="s">
        <v>39</v>
      </c>
      <c r="B48" s="91"/>
      <c r="C48" s="91"/>
      <c r="D48" s="91"/>
      <c r="E48" s="20"/>
      <c r="F48" s="20" t="s">
        <v>183</v>
      </c>
      <c r="G48" s="210"/>
      <c r="H48" s="210"/>
      <c r="I48" s="199"/>
      <c r="J48" s="210"/>
      <c r="K48" s="192" t="e">
        <f t="shared" si="1"/>
        <v>#DIV/0!</v>
      </c>
    </row>
    <row r="49" spans="1:11" s="31" customFormat="1" ht="38.25" customHeight="1" hidden="1">
      <c r="A49" s="19" t="s">
        <v>40</v>
      </c>
      <c r="B49" s="91"/>
      <c r="C49" s="91"/>
      <c r="D49" s="91"/>
      <c r="E49" s="20"/>
      <c r="F49" s="20" t="s">
        <v>222</v>
      </c>
      <c r="G49" s="210"/>
      <c r="H49" s="210"/>
      <c r="I49" s="199"/>
      <c r="J49" s="210"/>
      <c r="K49" s="192" t="e">
        <f t="shared" si="1"/>
        <v>#DIV/0!</v>
      </c>
    </row>
    <row r="50" spans="1:11" s="31" customFormat="1" ht="25.5" customHeight="1" hidden="1">
      <c r="A50" s="12" t="s">
        <v>41</v>
      </c>
      <c r="B50" s="91"/>
      <c r="C50" s="91"/>
      <c r="D50" s="91"/>
      <c r="E50" s="20"/>
      <c r="F50" s="20" t="s">
        <v>192</v>
      </c>
      <c r="G50" s="210"/>
      <c r="H50" s="210"/>
      <c r="I50" s="199"/>
      <c r="J50" s="210"/>
      <c r="K50" s="192" t="e">
        <f t="shared" si="1"/>
        <v>#DIV/0!</v>
      </c>
    </row>
    <row r="51" spans="1:11" s="72" customFormat="1" ht="12.75" customHeight="1" hidden="1">
      <c r="A51" s="43" t="s">
        <v>42</v>
      </c>
      <c r="B51" s="70" t="s">
        <v>170</v>
      </c>
      <c r="C51" s="70" t="s">
        <v>82</v>
      </c>
      <c r="D51" s="70" t="s">
        <v>175</v>
      </c>
      <c r="E51" s="44" t="s">
        <v>43</v>
      </c>
      <c r="F51" s="44"/>
      <c r="G51" s="207"/>
      <c r="H51" s="207"/>
      <c r="I51" s="198"/>
      <c r="J51" s="207"/>
      <c r="K51" s="192" t="e">
        <f t="shared" si="1"/>
        <v>#DIV/0!</v>
      </c>
    </row>
    <row r="52" spans="1:11" s="92" customFormat="1" ht="12.75" customHeight="1" hidden="1">
      <c r="A52" s="87" t="s">
        <v>44</v>
      </c>
      <c r="B52" s="89" t="s">
        <v>170</v>
      </c>
      <c r="C52" s="89" t="s">
        <v>82</v>
      </c>
      <c r="D52" s="89" t="s">
        <v>175</v>
      </c>
      <c r="E52" s="27" t="s">
        <v>45</v>
      </c>
      <c r="F52" s="27"/>
      <c r="G52" s="209"/>
      <c r="H52" s="209"/>
      <c r="I52" s="202"/>
      <c r="J52" s="209"/>
      <c r="K52" s="192" t="e">
        <f t="shared" si="1"/>
        <v>#DIV/0!</v>
      </c>
    </row>
    <row r="53" spans="1:11" s="31" customFormat="1" ht="12.75" customHeight="1" hidden="1">
      <c r="A53" s="6" t="s">
        <v>46</v>
      </c>
      <c r="B53" s="91"/>
      <c r="C53" s="91"/>
      <c r="D53" s="91"/>
      <c r="E53" s="20"/>
      <c r="F53" s="20"/>
      <c r="G53" s="210"/>
      <c r="H53" s="210"/>
      <c r="I53" s="199"/>
      <c r="J53" s="210"/>
      <c r="K53" s="192" t="e">
        <f t="shared" si="1"/>
        <v>#DIV/0!</v>
      </c>
    </row>
    <row r="54" spans="1:11" s="72" customFormat="1" ht="12.75" customHeight="1" hidden="1">
      <c r="A54" s="43" t="s">
        <v>47</v>
      </c>
      <c r="B54" s="70" t="s">
        <v>170</v>
      </c>
      <c r="C54" s="70" t="s">
        <v>82</v>
      </c>
      <c r="D54" s="70" t="s">
        <v>175</v>
      </c>
      <c r="E54" s="44" t="s">
        <v>48</v>
      </c>
      <c r="F54" s="44"/>
      <c r="G54" s="207"/>
      <c r="H54" s="207"/>
      <c r="I54" s="198"/>
      <c r="J54" s="207"/>
      <c r="K54" s="192" t="e">
        <f t="shared" si="1"/>
        <v>#DIV/0!</v>
      </c>
    </row>
    <row r="55" spans="1:11" s="31" customFormat="1" ht="25.5" customHeight="1" hidden="1">
      <c r="A55" s="12" t="s">
        <v>41</v>
      </c>
      <c r="B55" s="91"/>
      <c r="C55" s="91"/>
      <c r="D55" s="91"/>
      <c r="E55" s="20"/>
      <c r="F55" s="20"/>
      <c r="G55" s="210"/>
      <c r="H55" s="210"/>
      <c r="I55" s="199"/>
      <c r="J55" s="210"/>
      <c r="K55" s="192" t="e">
        <f t="shared" si="1"/>
        <v>#DIV/0!</v>
      </c>
    </row>
    <row r="56" spans="1:11" s="72" customFormat="1" ht="12.75" customHeight="1" hidden="1">
      <c r="A56" s="43" t="s">
        <v>49</v>
      </c>
      <c r="B56" s="70" t="s">
        <v>170</v>
      </c>
      <c r="C56" s="70" t="s">
        <v>82</v>
      </c>
      <c r="D56" s="70" t="s">
        <v>175</v>
      </c>
      <c r="E56" s="44" t="s">
        <v>50</v>
      </c>
      <c r="F56" s="44"/>
      <c r="G56" s="207"/>
      <c r="H56" s="207"/>
      <c r="I56" s="198"/>
      <c r="J56" s="207"/>
      <c r="K56" s="192" t="e">
        <f t="shared" si="1"/>
        <v>#DIV/0!</v>
      </c>
    </row>
    <row r="57" spans="1:11" s="92" customFormat="1" ht="12.75" customHeight="1" hidden="1">
      <c r="A57" s="87" t="s">
        <v>51</v>
      </c>
      <c r="B57" s="89" t="s">
        <v>170</v>
      </c>
      <c r="C57" s="89" t="s">
        <v>82</v>
      </c>
      <c r="D57" s="89" t="s">
        <v>175</v>
      </c>
      <c r="E57" s="27" t="s">
        <v>52</v>
      </c>
      <c r="F57" s="27"/>
      <c r="G57" s="209"/>
      <c r="H57" s="209"/>
      <c r="I57" s="202"/>
      <c r="J57" s="209"/>
      <c r="K57" s="192" t="e">
        <f t="shared" si="1"/>
        <v>#DIV/0!</v>
      </c>
    </row>
    <row r="58" spans="1:11" s="31" customFormat="1" ht="12.75" customHeight="1" hidden="1">
      <c r="A58" s="7" t="s">
        <v>53</v>
      </c>
      <c r="B58" s="91"/>
      <c r="C58" s="91"/>
      <c r="D58" s="91"/>
      <c r="E58" s="20"/>
      <c r="F58" s="20" t="s">
        <v>223</v>
      </c>
      <c r="G58" s="210"/>
      <c r="H58" s="210"/>
      <c r="I58" s="199"/>
      <c r="J58" s="210"/>
      <c r="K58" s="192" t="e">
        <f t="shared" si="1"/>
        <v>#DIV/0!</v>
      </c>
    </row>
    <row r="59" spans="1:11" s="31" customFormat="1" ht="51" customHeight="1" hidden="1">
      <c r="A59" s="7" t="s">
        <v>54</v>
      </c>
      <c r="B59" s="91"/>
      <c r="C59" s="91"/>
      <c r="D59" s="91"/>
      <c r="E59" s="20"/>
      <c r="F59" s="20" t="s">
        <v>194</v>
      </c>
      <c r="G59" s="210"/>
      <c r="H59" s="210"/>
      <c r="I59" s="199"/>
      <c r="J59" s="210"/>
      <c r="K59" s="192" t="e">
        <f t="shared" si="1"/>
        <v>#DIV/0!</v>
      </c>
    </row>
    <row r="60" spans="1:11" s="31" customFormat="1" ht="63.75" customHeight="1" hidden="1">
      <c r="A60" s="7" t="s">
        <v>55</v>
      </c>
      <c r="B60" s="91"/>
      <c r="C60" s="91"/>
      <c r="D60" s="91"/>
      <c r="E60" s="20"/>
      <c r="F60" s="20" t="s">
        <v>193</v>
      </c>
      <c r="G60" s="210"/>
      <c r="H60" s="210"/>
      <c r="I60" s="199"/>
      <c r="J60" s="210"/>
      <c r="K60" s="192" t="e">
        <f t="shared" si="1"/>
        <v>#DIV/0!</v>
      </c>
    </row>
    <row r="61" spans="1:11" s="92" customFormat="1" ht="12.75" customHeight="1" hidden="1">
      <c r="A61" s="87" t="s">
        <v>56</v>
      </c>
      <c r="B61" s="89" t="s">
        <v>170</v>
      </c>
      <c r="C61" s="89" t="s">
        <v>82</v>
      </c>
      <c r="D61" s="89" t="s">
        <v>175</v>
      </c>
      <c r="E61" s="27" t="s">
        <v>57</v>
      </c>
      <c r="F61" s="27"/>
      <c r="G61" s="209"/>
      <c r="H61" s="209"/>
      <c r="I61" s="202"/>
      <c r="J61" s="209"/>
      <c r="K61" s="192" t="e">
        <f t="shared" si="1"/>
        <v>#DIV/0!</v>
      </c>
    </row>
    <row r="62" spans="1:11" s="31" customFormat="1" ht="25.5" customHeight="1" hidden="1">
      <c r="A62" s="7" t="s">
        <v>58</v>
      </c>
      <c r="B62" s="91"/>
      <c r="C62" s="91"/>
      <c r="D62" s="91"/>
      <c r="E62" s="20"/>
      <c r="F62" s="20" t="s">
        <v>195</v>
      </c>
      <c r="G62" s="210"/>
      <c r="H62" s="210"/>
      <c r="I62" s="199"/>
      <c r="J62" s="210"/>
      <c r="K62" s="192" t="e">
        <f t="shared" si="1"/>
        <v>#DIV/0!</v>
      </c>
    </row>
    <row r="63" spans="1:11" s="31" customFormat="1" ht="12.75" customHeight="1" hidden="1">
      <c r="A63" s="7" t="s">
        <v>59</v>
      </c>
      <c r="B63" s="91"/>
      <c r="C63" s="91"/>
      <c r="D63" s="91"/>
      <c r="E63" s="20"/>
      <c r="F63" s="20" t="s">
        <v>196</v>
      </c>
      <c r="G63" s="210"/>
      <c r="H63" s="210"/>
      <c r="I63" s="199"/>
      <c r="J63" s="210"/>
      <c r="K63" s="192" t="e">
        <f t="shared" si="1"/>
        <v>#DIV/0!</v>
      </c>
    </row>
    <row r="64" spans="1:11" s="31" customFormat="1" ht="12.75" customHeight="1" hidden="1">
      <c r="A64" s="7" t="s">
        <v>60</v>
      </c>
      <c r="B64" s="91"/>
      <c r="C64" s="91"/>
      <c r="D64" s="91"/>
      <c r="E64" s="20"/>
      <c r="F64" s="20" t="s">
        <v>197</v>
      </c>
      <c r="G64" s="210"/>
      <c r="H64" s="210"/>
      <c r="I64" s="199"/>
      <c r="J64" s="210"/>
      <c r="K64" s="192" t="e">
        <f t="shared" si="1"/>
        <v>#DIV/0!</v>
      </c>
    </row>
    <row r="65" spans="1:11" s="31" customFormat="1" ht="38.25" customHeight="1" hidden="1">
      <c r="A65" s="7" t="s">
        <v>61</v>
      </c>
      <c r="B65" s="91"/>
      <c r="C65" s="91"/>
      <c r="D65" s="91"/>
      <c r="E65" s="20"/>
      <c r="F65" s="20" t="s">
        <v>198</v>
      </c>
      <c r="G65" s="210"/>
      <c r="H65" s="210"/>
      <c r="I65" s="199"/>
      <c r="J65" s="210"/>
      <c r="K65" s="192" t="e">
        <f t="shared" si="1"/>
        <v>#DIV/0!</v>
      </c>
    </row>
    <row r="66" spans="1:11" s="15" customFormat="1" ht="15" customHeight="1" hidden="1">
      <c r="A66" s="49" t="s">
        <v>176</v>
      </c>
      <c r="B66" s="48" t="s">
        <v>170</v>
      </c>
      <c r="C66" s="48" t="s">
        <v>82</v>
      </c>
      <c r="D66" s="48" t="s">
        <v>175</v>
      </c>
      <c r="E66" s="48" t="s">
        <v>2</v>
      </c>
      <c r="F66" s="48"/>
      <c r="G66" s="211"/>
      <c r="H66" s="211"/>
      <c r="I66" s="196"/>
      <c r="J66" s="211"/>
      <c r="K66" s="192" t="e">
        <f t="shared" si="1"/>
        <v>#DIV/0!</v>
      </c>
    </row>
    <row r="67" spans="1:11" s="45" customFormat="1" ht="13.5" customHeight="1" hidden="1">
      <c r="A67" s="43" t="s">
        <v>4</v>
      </c>
      <c r="B67" s="44" t="s">
        <v>170</v>
      </c>
      <c r="C67" s="44" t="s">
        <v>182</v>
      </c>
      <c r="D67" s="44" t="s">
        <v>175</v>
      </c>
      <c r="E67" s="44" t="s">
        <v>5</v>
      </c>
      <c r="F67" s="44"/>
      <c r="G67" s="197"/>
      <c r="H67" s="197"/>
      <c r="I67" s="198"/>
      <c r="J67" s="197"/>
      <c r="K67" s="192" t="e">
        <f t="shared" si="1"/>
        <v>#DIV/0!</v>
      </c>
    </row>
    <row r="68" spans="1:11" s="28" customFormat="1" ht="12.75" hidden="1">
      <c r="A68" s="87" t="s">
        <v>6</v>
      </c>
      <c r="B68" s="27" t="s">
        <v>170</v>
      </c>
      <c r="C68" s="27" t="s">
        <v>182</v>
      </c>
      <c r="D68" s="27" t="s">
        <v>175</v>
      </c>
      <c r="E68" s="27" t="s">
        <v>7</v>
      </c>
      <c r="F68" s="27"/>
      <c r="G68" s="201"/>
      <c r="H68" s="201"/>
      <c r="I68" s="202"/>
      <c r="J68" s="201"/>
      <c r="K68" s="192" t="e">
        <f t="shared" si="1"/>
        <v>#DIV/0!</v>
      </c>
    </row>
    <row r="69" spans="1:11" s="28" customFormat="1" ht="12.75" hidden="1">
      <c r="A69" s="87" t="s">
        <v>8</v>
      </c>
      <c r="B69" s="27" t="s">
        <v>170</v>
      </c>
      <c r="C69" s="27" t="s">
        <v>182</v>
      </c>
      <c r="D69" s="27" t="s">
        <v>175</v>
      </c>
      <c r="E69" s="27" t="s">
        <v>9</v>
      </c>
      <c r="F69" s="27"/>
      <c r="G69" s="201"/>
      <c r="H69" s="201"/>
      <c r="I69" s="202"/>
      <c r="J69" s="201"/>
      <c r="K69" s="192" t="e">
        <f t="shared" si="1"/>
        <v>#DIV/0!</v>
      </c>
    </row>
    <row r="70" spans="1:11" ht="25.5" hidden="1">
      <c r="A70" s="11" t="s">
        <v>10</v>
      </c>
      <c r="B70" s="4"/>
      <c r="C70" s="4"/>
      <c r="D70" s="4"/>
      <c r="E70" s="4"/>
      <c r="F70" s="4" t="s">
        <v>183</v>
      </c>
      <c r="G70" s="200"/>
      <c r="H70" s="200"/>
      <c r="I70" s="199"/>
      <c r="J70" s="200"/>
      <c r="K70" s="192" t="e">
        <f t="shared" si="1"/>
        <v>#DIV/0!</v>
      </c>
    </row>
    <row r="71" spans="1:11" ht="12.75" customHeight="1" hidden="1">
      <c r="A71" s="12" t="s">
        <v>11</v>
      </c>
      <c r="B71" s="4"/>
      <c r="C71" s="4"/>
      <c r="D71" s="4"/>
      <c r="E71" s="4"/>
      <c r="F71" s="4" t="s">
        <v>200</v>
      </c>
      <c r="G71" s="200"/>
      <c r="H71" s="200"/>
      <c r="I71" s="199"/>
      <c r="J71" s="200"/>
      <c r="K71" s="192" t="e">
        <f t="shared" si="1"/>
        <v>#DIV/0!</v>
      </c>
    </row>
    <row r="72" spans="1:11" ht="26.25" customHeight="1" hidden="1">
      <c r="A72" s="6" t="s">
        <v>12</v>
      </c>
      <c r="B72" s="4"/>
      <c r="C72" s="4"/>
      <c r="D72" s="4"/>
      <c r="E72" s="4"/>
      <c r="F72" s="4" t="s">
        <v>184</v>
      </c>
      <c r="G72" s="200"/>
      <c r="H72" s="200"/>
      <c r="I72" s="199"/>
      <c r="J72" s="200"/>
      <c r="K72" s="192" t="e">
        <f t="shared" si="1"/>
        <v>#DIV/0!</v>
      </c>
    </row>
    <row r="73" spans="1:11" s="28" customFormat="1" ht="12.75" hidden="1">
      <c r="A73" s="87" t="s">
        <v>13</v>
      </c>
      <c r="B73" s="27" t="s">
        <v>170</v>
      </c>
      <c r="C73" s="27" t="s">
        <v>182</v>
      </c>
      <c r="D73" s="27" t="s">
        <v>175</v>
      </c>
      <c r="E73" s="27" t="s">
        <v>14</v>
      </c>
      <c r="F73" s="27"/>
      <c r="G73" s="201"/>
      <c r="H73" s="201"/>
      <c r="I73" s="202"/>
      <c r="J73" s="201"/>
      <c r="K73" s="192" t="e">
        <f t="shared" si="1"/>
        <v>#DIV/0!</v>
      </c>
    </row>
    <row r="74" spans="1:11" s="45" customFormat="1" ht="12.75" hidden="1">
      <c r="A74" s="43" t="s">
        <v>15</v>
      </c>
      <c r="B74" s="44" t="s">
        <v>170</v>
      </c>
      <c r="C74" s="44" t="s">
        <v>182</v>
      </c>
      <c r="D74" s="44" t="s">
        <v>175</v>
      </c>
      <c r="E74" s="44" t="s">
        <v>16</v>
      </c>
      <c r="F74" s="44"/>
      <c r="G74" s="197"/>
      <c r="H74" s="197"/>
      <c r="I74" s="198"/>
      <c r="J74" s="197"/>
      <c r="K74" s="192" t="e">
        <f t="shared" si="1"/>
        <v>#DIV/0!</v>
      </c>
    </row>
    <row r="75" spans="1:11" s="28" customFormat="1" ht="12.75" hidden="1">
      <c r="A75" s="87" t="s">
        <v>17</v>
      </c>
      <c r="B75" s="27" t="s">
        <v>170</v>
      </c>
      <c r="C75" s="27" t="s">
        <v>182</v>
      </c>
      <c r="D75" s="27" t="s">
        <v>175</v>
      </c>
      <c r="E75" s="27" t="s">
        <v>18</v>
      </c>
      <c r="F75" s="27"/>
      <c r="G75" s="201"/>
      <c r="H75" s="201"/>
      <c r="I75" s="202"/>
      <c r="J75" s="201"/>
      <c r="K75" s="192" t="e">
        <f aca="true" t="shared" si="2" ref="K75:K138">J75*100/I75</f>
        <v>#DIV/0!</v>
      </c>
    </row>
    <row r="76" spans="1:11" s="28" customFormat="1" ht="12.75" hidden="1">
      <c r="A76" s="87" t="s">
        <v>21</v>
      </c>
      <c r="B76" s="27" t="s">
        <v>170</v>
      </c>
      <c r="C76" s="27" t="s">
        <v>182</v>
      </c>
      <c r="D76" s="27" t="s">
        <v>175</v>
      </c>
      <c r="E76" s="27" t="s">
        <v>19</v>
      </c>
      <c r="F76" s="27"/>
      <c r="G76" s="201"/>
      <c r="H76" s="201"/>
      <c r="I76" s="202"/>
      <c r="J76" s="201"/>
      <c r="K76" s="192" t="e">
        <f t="shared" si="2"/>
        <v>#DIV/0!</v>
      </c>
    </row>
    <row r="77" spans="1:11" ht="25.5" hidden="1">
      <c r="A77" s="11" t="s">
        <v>20</v>
      </c>
      <c r="B77" s="4"/>
      <c r="C77" s="4"/>
      <c r="D77" s="4"/>
      <c r="E77" s="4"/>
      <c r="F77" s="4" t="s">
        <v>183</v>
      </c>
      <c r="G77" s="200"/>
      <c r="H77" s="200"/>
      <c r="I77" s="199"/>
      <c r="J77" s="200"/>
      <c r="K77" s="192" t="e">
        <f t="shared" si="2"/>
        <v>#DIV/0!</v>
      </c>
    </row>
    <row r="78" spans="1:11" ht="38.25" hidden="1">
      <c r="A78" s="8" t="s">
        <v>22</v>
      </c>
      <c r="B78" s="4"/>
      <c r="C78" s="4"/>
      <c r="D78" s="4"/>
      <c r="E78" s="4"/>
      <c r="F78" s="4" t="s">
        <v>185</v>
      </c>
      <c r="G78" s="200"/>
      <c r="H78" s="200"/>
      <c r="I78" s="199"/>
      <c r="J78" s="200"/>
      <c r="K78" s="192" t="e">
        <f t="shared" si="2"/>
        <v>#DIV/0!</v>
      </c>
    </row>
    <row r="79" spans="1:11" s="28" customFormat="1" ht="12.75" hidden="1">
      <c r="A79" s="87" t="s">
        <v>23</v>
      </c>
      <c r="B79" s="27" t="s">
        <v>170</v>
      </c>
      <c r="C79" s="27" t="s">
        <v>182</v>
      </c>
      <c r="D79" s="27" t="s">
        <v>175</v>
      </c>
      <c r="E79" s="27" t="s">
        <v>24</v>
      </c>
      <c r="F79" s="27"/>
      <c r="G79" s="201"/>
      <c r="H79" s="201"/>
      <c r="I79" s="202"/>
      <c r="J79" s="201"/>
      <c r="K79" s="192" t="e">
        <f t="shared" si="2"/>
        <v>#DIV/0!</v>
      </c>
    </row>
    <row r="80" spans="1:11" ht="12.75" customHeight="1" hidden="1">
      <c r="A80" s="7" t="s">
        <v>25</v>
      </c>
      <c r="B80" s="4"/>
      <c r="C80" s="4"/>
      <c r="D80" s="4"/>
      <c r="E80" s="4"/>
      <c r="F80" s="4" t="s">
        <v>186</v>
      </c>
      <c r="G80" s="200"/>
      <c r="H80" s="200"/>
      <c r="I80" s="199"/>
      <c r="J80" s="200"/>
      <c r="K80" s="192" t="e">
        <f t="shared" si="2"/>
        <v>#DIV/0!</v>
      </c>
    </row>
    <row r="81" spans="1:11" ht="12.75" customHeight="1" hidden="1">
      <c r="A81" s="7" t="s">
        <v>26</v>
      </c>
      <c r="B81" s="4"/>
      <c r="C81" s="4"/>
      <c r="D81" s="4"/>
      <c r="E81" s="4"/>
      <c r="F81" s="4" t="s">
        <v>187</v>
      </c>
      <c r="G81" s="200"/>
      <c r="H81" s="200"/>
      <c r="I81" s="199"/>
      <c r="J81" s="200"/>
      <c r="K81" s="192" t="e">
        <f t="shared" si="2"/>
        <v>#DIV/0!</v>
      </c>
    </row>
    <row r="82" spans="1:11" ht="12.75" hidden="1">
      <c r="A82" s="7" t="s">
        <v>27</v>
      </c>
      <c r="B82" s="4"/>
      <c r="C82" s="4"/>
      <c r="D82" s="4"/>
      <c r="E82" s="4"/>
      <c r="F82" s="4" t="s">
        <v>188</v>
      </c>
      <c r="G82" s="200"/>
      <c r="H82" s="200"/>
      <c r="I82" s="199"/>
      <c r="J82" s="200"/>
      <c r="K82" s="192" t="e">
        <f t="shared" si="2"/>
        <v>#DIV/0!</v>
      </c>
    </row>
    <row r="83" spans="1:11" s="28" customFormat="1" ht="15" customHeight="1" hidden="1">
      <c r="A83" s="87" t="s">
        <v>28</v>
      </c>
      <c r="B83" s="27" t="s">
        <v>170</v>
      </c>
      <c r="C83" s="27" t="s">
        <v>182</v>
      </c>
      <c r="D83" s="27" t="s">
        <v>175</v>
      </c>
      <c r="E83" s="27" t="s">
        <v>29</v>
      </c>
      <c r="F83" s="27"/>
      <c r="G83" s="201"/>
      <c r="H83" s="201"/>
      <c r="I83" s="202"/>
      <c r="J83" s="201"/>
      <c r="K83" s="192" t="e">
        <f t="shared" si="2"/>
        <v>#DIV/0!</v>
      </c>
    </row>
    <row r="84" spans="1:11" s="28" customFormat="1" ht="12.75" hidden="1">
      <c r="A84" s="87" t="s">
        <v>30</v>
      </c>
      <c r="B84" s="27" t="s">
        <v>170</v>
      </c>
      <c r="C84" s="27" t="s">
        <v>182</v>
      </c>
      <c r="D84" s="27" t="s">
        <v>175</v>
      </c>
      <c r="E84" s="27" t="s">
        <v>31</v>
      </c>
      <c r="F84" s="27"/>
      <c r="G84" s="201"/>
      <c r="H84" s="201"/>
      <c r="I84" s="202"/>
      <c r="J84" s="201"/>
      <c r="K84" s="192" t="e">
        <f t="shared" si="2"/>
        <v>#DIV/0!</v>
      </c>
    </row>
    <row r="85" spans="1:11" s="30" customFormat="1" ht="12.75" hidden="1">
      <c r="A85" s="7" t="s">
        <v>32</v>
      </c>
      <c r="B85" s="29"/>
      <c r="C85" s="29"/>
      <c r="D85" s="29"/>
      <c r="E85" s="29"/>
      <c r="F85" s="17" t="s">
        <v>189</v>
      </c>
      <c r="G85" s="212"/>
      <c r="H85" s="212"/>
      <c r="I85" s="205"/>
      <c r="J85" s="212"/>
      <c r="K85" s="192" t="e">
        <f t="shared" si="2"/>
        <v>#DIV/0!</v>
      </c>
    </row>
    <row r="86" spans="1:11" s="18" customFormat="1" ht="12.75" hidden="1">
      <c r="A86" s="7" t="s">
        <v>33</v>
      </c>
      <c r="B86" s="17"/>
      <c r="C86" s="17"/>
      <c r="D86" s="17"/>
      <c r="E86" s="17"/>
      <c r="F86" s="17" t="s">
        <v>191</v>
      </c>
      <c r="G86" s="186"/>
      <c r="H86" s="186"/>
      <c r="I86" s="213"/>
      <c r="J86" s="186"/>
      <c r="K86" s="192" t="e">
        <f t="shared" si="2"/>
        <v>#DIV/0!</v>
      </c>
    </row>
    <row r="87" spans="1:11" s="18" customFormat="1" ht="25.5" hidden="1">
      <c r="A87" s="7" t="s">
        <v>34</v>
      </c>
      <c r="B87" s="17"/>
      <c r="C87" s="17"/>
      <c r="D87" s="17"/>
      <c r="E87" s="17"/>
      <c r="F87" s="17" t="s">
        <v>221</v>
      </c>
      <c r="G87" s="186"/>
      <c r="H87" s="186"/>
      <c r="I87" s="213"/>
      <c r="J87" s="186"/>
      <c r="K87" s="192" t="e">
        <f t="shared" si="2"/>
        <v>#DIV/0!</v>
      </c>
    </row>
    <row r="88" spans="1:11" s="18" customFormat="1" ht="25.5" hidden="1">
      <c r="A88" s="7" t="s">
        <v>35</v>
      </c>
      <c r="B88" s="17"/>
      <c r="C88" s="17"/>
      <c r="D88" s="17"/>
      <c r="E88" s="17"/>
      <c r="F88" s="17" t="s">
        <v>190</v>
      </c>
      <c r="G88" s="186"/>
      <c r="H88" s="186"/>
      <c r="I88" s="213"/>
      <c r="J88" s="186"/>
      <c r="K88" s="192" t="e">
        <f t="shared" si="2"/>
        <v>#DIV/0!</v>
      </c>
    </row>
    <row r="89" spans="1:11" s="18" customFormat="1" ht="51" hidden="1">
      <c r="A89" s="7" t="s">
        <v>36</v>
      </c>
      <c r="B89" s="17"/>
      <c r="C89" s="17"/>
      <c r="D89" s="17"/>
      <c r="E89" s="17"/>
      <c r="F89" s="17" t="s">
        <v>224</v>
      </c>
      <c r="G89" s="186"/>
      <c r="H89" s="186"/>
      <c r="I89" s="213"/>
      <c r="J89" s="186"/>
      <c r="K89" s="192" t="e">
        <f t="shared" si="2"/>
        <v>#DIV/0!</v>
      </c>
    </row>
    <row r="90" spans="1:11" s="28" customFormat="1" ht="12.75" hidden="1">
      <c r="A90" s="87" t="s">
        <v>37</v>
      </c>
      <c r="B90" s="27" t="s">
        <v>170</v>
      </c>
      <c r="C90" s="27" t="s">
        <v>182</v>
      </c>
      <c r="D90" s="27" t="s">
        <v>175</v>
      </c>
      <c r="E90" s="27" t="s">
        <v>38</v>
      </c>
      <c r="F90" s="27"/>
      <c r="G90" s="201"/>
      <c r="H90" s="201"/>
      <c r="I90" s="202"/>
      <c r="J90" s="201"/>
      <c r="K90" s="192" t="e">
        <f t="shared" si="2"/>
        <v>#DIV/0!</v>
      </c>
    </row>
    <row r="91" spans="1:11" s="21" customFormat="1" ht="38.25" hidden="1">
      <c r="A91" s="11" t="s">
        <v>39</v>
      </c>
      <c r="B91" s="20"/>
      <c r="C91" s="20"/>
      <c r="D91" s="20"/>
      <c r="E91" s="20"/>
      <c r="F91" s="20" t="s">
        <v>183</v>
      </c>
      <c r="G91" s="214"/>
      <c r="H91" s="214"/>
      <c r="I91" s="215"/>
      <c r="J91" s="214"/>
      <c r="K91" s="192" t="e">
        <f t="shared" si="2"/>
        <v>#DIV/0!</v>
      </c>
    </row>
    <row r="92" spans="1:11" s="21" customFormat="1" ht="38.25" hidden="1">
      <c r="A92" s="19" t="s">
        <v>40</v>
      </c>
      <c r="B92" s="20"/>
      <c r="C92" s="20"/>
      <c r="D92" s="20"/>
      <c r="E92" s="20"/>
      <c r="F92" s="20" t="s">
        <v>222</v>
      </c>
      <c r="G92" s="214"/>
      <c r="H92" s="214"/>
      <c r="I92" s="215"/>
      <c r="J92" s="214"/>
      <c r="K92" s="192" t="e">
        <f t="shared" si="2"/>
        <v>#DIV/0!</v>
      </c>
    </row>
    <row r="93" spans="1:11" s="21" customFormat="1" ht="25.5" customHeight="1" hidden="1">
      <c r="A93" s="12" t="s">
        <v>41</v>
      </c>
      <c r="B93" s="20"/>
      <c r="C93" s="20"/>
      <c r="D93" s="20"/>
      <c r="E93" s="20"/>
      <c r="F93" s="20" t="s">
        <v>192</v>
      </c>
      <c r="G93" s="214"/>
      <c r="H93" s="214"/>
      <c r="I93" s="215"/>
      <c r="J93" s="214"/>
      <c r="K93" s="192" t="e">
        <f t="shared" si="2"/>
        <v>#DIV/0!</v>
      </c>
    </row>
    <row r="94" spans="1:11" s="45" customFormat="1" ht="12.75" hidden="1">
      <c r="A94" s="43" t="s">
        <v>42</v>
      </c>
      <c r="B94" s="44" t="s">
        <v>170</v>
      </c>
      <c r="C94" s="44" t="s">
        <v>182</v>
      </c>
      <c r="D94" s="44" t="s">
        <v>175</v>
      </c>
      <c r="E94" s="44" t="s">
        <v>43</v>
      </c>
      <c r="F94" s="44"/>
      <c r="G94" s="197"/>
      <c r="H94" s="197"/>
      <c r="I94" s="198"/>
      <c r="J94" s="197"/>
      <c r="K94" s="192" t="e">
        <f t="shared" si="2"/>
        <v>#DIV/0!</v>
      </c>
    </row>
    <row r="95" spans="1:11" s="28" customFormat="1" ht="12.75" hidden="1">
      <c r="A95" s="87" t="s">
        <v>44</v>
      </c>
      <c r="B95" s="27" t="s">
        <v>170</v>
      </c>
      <c r="C95" s="27" t="s">
        <v>182</v>
      </c>
      <c r="D95" s="27" t="s">
        <v>175</v>
      </c>
      <c r="E95" s="27" t="s">
        <v>45</v>
      </c>
      <c r="F95" s="27"/>
      <c r="G95" s="201"/>
      <c r="H95" s="201"/>
      <c r="I95" s="202"/>
      <c r="J95" s="201"/>
      <c r="K95" s="192" t="e">
        <f t="shared" si="2"/>
        <v>#DIV/0!</v>
      </c>
    </row>
    <row r="96" spans="1:11" s="21" customFormat="1" ht="12.75" hidden="1">
      <c r="A96" s="6" t="s">
        <v>46</v>
      </c>
      <c r="B96" s="20"/>
      <c r="C96" s="20"/>
      <c r="D96" s="20"/>
      <c r="E96" s="20"/>
      <c r="F96" s="20"/>
      <c r="G96" s="214"/>
      <c r="H96" s="214"/>
      <c r="I96" s="215"/>
      <c r="J96" s="214"/>
      <c r="K96" s="192" t="e">
        <f t="shared" si="2"/>
        <v>#DIV/0!</v>
      </c>
    </row>
    <row r="97" spans="1:11" s="45" customFormat="1" ht="12.75" hidden="1">
      <c r="A97" s="43" t="s">
        <v>47</v>
      </c>
      <c r="B97" s="44" t="s">
        <v>170</v>
      </c>
      <c r="C97" s="44" t="s">
        <v>182</v>
      </c>
      <c r="D97" s="44" t="s">
        <v>175</v>
      </c>
      <c r="E97" s="44" t="s">
        <v>48</v>
      </c>
      <c r="F97" s="44"/>
      <c r="G97" s="197"/>
      <c r="H97" s="197"/>
      <c r="I97" s="198"/>
      <c r="J97" s="197"/>
      <c r="K97" s="192" t="e">
        <f t="shared" si="2"/>
        <v>#DIV/0!</v>
      </c>
    </row>
    <row r="98" spans="1:11" s="21" customFormat="1" ht="27.75" customHeight="1" hidden="1">
      <c r="A98" s="12" t="s">
        <v>41</v>
      </c>
      <c r="B98" s="20"/>
      <c r="C98" s="20"/>
      <c r="D98" s="20"/>
      <c r="E98" s="20"/>
      <c r="F98" s="20"/>
      <c r="G98" s="214"/>
      <c r="H98" s="214"/>
      <c r="I98" s="215"/>
      <c r="J98" s="214"/>
      <c r="K98" s="192" t="e">
        <f t="shared" si="2"/>
        <v>#DIV/0!</v>
      </c>
    </row>
    <row r="99" spans="1:11" s="45" customFormat="1" ht="12.75" hidden="1">
      <c r="A99" s="43" t="s">
        <v>49</v>
      </c>
      <c r="B99" s="44" t="s">
        <v>170</v>
      </c>
      <c r="C99" s="44" t="s">
        <v>182</v>
      </c>
      <c r="D99" s="44" t="s">
        <v>175</v>
      </c>
      <c r="E99" s="44" t="s">
        <v>50</v>
      </c>
      <c r="F99" s="44"/>
      <c r="G99" s="197"/>
      <c r="H99" s="197"/>
      <c r="I99" s="198"/>
      <c r="J99" s="197"/>
      <c r="K99" s="192" t="e">
        <f t="shared" si="2"/>
        <v>#DIV/0!</v>
      </c>
    </row>
    <row r="100" spans="1:11" s="28" customFormat="1" ht="12.75" hidden="1">
      <c r="A100" s="87" t="s">
        <v>51</v>
      </c>
      <c r="B100" s="27" t="s">
        <v>170</v>
      </c>
      <c r="C100" s="27" t="s">
        <v>182</v>
      </c>
      <c r="D100" s="27" t="s">
        <v>175</v>
      </c>
      <c r="E100" s="27" t="s">
        <v>52</v>
      </c>
      <c r="F100" s="27"/>
      <c r="G100" s="201"/>
      <c r="H100" s="201"/>
      <c r="I100" s="202"/>
      <c r="J100" s="201"/>
      <c r="K100" s="192" t="e">
        <f t="shared" si="2"/>
        <v>#DIV/0!</v>
      </c>
    </row>
    <row r="101" spans="1:11" s="21" customFormat="1" ht="12.75" hidden="1">
      <c r="A101" s="7" t="s">
        <v>53</v>
      </c>
      <c r="B101" s="20"/>
      <c r="C101" s="20"/>
      <c r="D101" s="20"/>
      <c r="E101" s="20"/>
      <c r="F101" s="20" t="s">
        <v>223</v>
      </c>
      <c r="G101" s="214"/>
      <c r="H101" s="214"/>
      <c r="I101" s="215"/>
      <c r="J101" s="214"/>
      <c r="K101" s="192" t="e">
        <f t="shared" si="2"/>
        <v>#DIV/0!</v>
      </c>
    </row>
    <row r="102" spans="1:11" s="21" customFormat="1" ht="38.25" customHeight="1" hidden="1">
      <c r="A102" s="7" t="s">
        <v>54</v>
      </c>
      <c r="B102" s="20"/>
      <c r="C102" s="20"/>
      <c r="D102" s="20"/>
      <c r="E102" s="20"/>
      <c r="F102" s="20" t="s">
        <v>194</v>
      </c>
      <c r="G102" s="214"/>
      <c r="H102" s="214"/>
      <c r="I102" s="215"/>
      <c r="J102" s="214"/>
      <c r="K102" s="192" t="e">
        <f t="shared" si="2"/>
        <v>#DIV/0!</v>
      </c>
    </row>
    <row r="103" spans="1:11" s="21" customFormat="1" ht="52.5" customHeight="1" hidden="1">
      <c r="A103" s="7" t="s">
        <v>55</v>
      </c>
      <c r="B103" s="20"/>
      <c r="C103" s="20"/>
      <c r="D103" s="20"/>
      <c r="E103" s="20"/>
      <c r="F103" s="20" t="s">
        <v>193</v>
      </c>
      <c r="G103" s="214"/>
      <c r="H103" s="214"/>
      <c r="I103" s="215"/>
      <c r="J103" s="214"/>
      <c r="K103" s="192" t="e">
        <f t="shared" si="2"/>
        <v>#DIV/0!</v>
      </c>
    </row>
    <row r="104" spans="1:11" s="28" customFormat="1" ht="14.25" customHeight="1" hidden="1">
      <c r="A104" s="87" t="s">
        <v>56</v>
      </c>
      <c r="B104" s="27" t="s">
        <v>170</v>
      </c>
      <c r="C104" s="27" t="s">
        <v>182</v>
      </c>
      <c r="D104" s="27" t="s">
        <v>175</v>
      </c>
      <c r="E104" s="27" t="s">
        <v>57</v>
      </c>
      <c r="F104" s="27"/>
      <c r="G104" s="201"/>
      <c r="H104" s="201"/>
      <c r="I104" s="202"/>
      <c r="J104" s="201"/>
      <c r="K104" s="192" t="e">
        <f t="shared" si="2"/>
        <v>#DIV/0!</v>
      </c>
    </row>
    <row r="105" spans="1:11" s="21" customFormat="1" ht="25.5" hidden="1">
      <c r="A105" s="7" t="s">
        <v>58</v>
      </c>
      <c r="B105" s="20"/>
      <c r="C105" s="20"/>
      <c r="D105" s="20"/>
      <c r="E105" s="20"/>
      <c r="F105" s="20" t="s">
        <v>195</v>
      </c>
      <c r="G105" s="214"/>
      <c r="H105" s="214"/>
      <c r="I105" s="215"/>
      <c r="J105" s="214"/>
      <c r="K105" s="192" t="e">
        <f t="shared" si="2"/>
        <v>#DIV/0!</v>
      </c>
    </row>
    <row r="106" spans="1:11" s="21" customFormat="1" ht="12.75" hidden="1">
      <c r="A106" s="7" t="s">
        <v>59</v>
      </c>
      <c r="B106" s="20"/>
      <c r="C106" s="20"/>
      <c r="D106" s="20"/>
      <c r="E106" s="20"/>
      <c r="F106" s="20" t="s">
        <v>196</v>
      </c>
      <c r="G106" s="214"/>
      <c r="H106" s="214"/>
      <c r="I106" s="215"/>
      <c r="J106" s="214"/>
      <c r="K106" s="192" t="e">
        <f t="shared" si="2"/>
        <v>#DIV/0!</v>
      </c>
    </row>
    <row r="107" spans="1:11" s="21" customFormat="1" ht="12.75" hidden="1">
      <c r="A107" s="7" t="s">
        <v>60</v>
      </c>
      <c r="B107" s="20"/>
      <c r="C107" s="20"/>
      <c r="D107" s="20"/>
      <c r="E107" s="20"/>
      <c r="F107" s="20" t="s">
        <v>197</v>
      </c>
      <c r="G107" s="214"/>
      <c r="H107" s="214"/>
      <c r="I107" s="215"/>
      <c r="J107" s="214"/>
      <c r="K107" s="192" t="e">
        <f t="shared" si="2"/>
        <v>#DIV/0!</v>
      </c>
    </row>
    <row r="108" spans="1:11" s="21" customFormat="1" ht="39" customHeight="1" hidden="1">
      <c r="A108" s="7" t="s">
        <v>61</v>
      </c>
      <c r="B108" s="20"/>
      <c r="C108" s="20"/>
      <c r="D108" s="20"/>
      <c r="E108" s="20"/>
      <c r="F108" s="20" t="s">
        <v>198</v>
      </c>
      <c r="G108" s="214"/>
      <c r="H108" s="214"/>
      <c r="I108" s="215"/>
      <c r="J108" s="214"/>
      <c r="K108" s="192" t="e">
        <f t="shared" si="2"/>
        <v>#DIV/0!</v>
      </c>
    </row>
    <row r="109" spans="1:11" s="21" customFormat="1" ht="54.75" customHeight="1" hidden="1">
      <c r="A109" s="47" t="s">
        <v>181</v>
      </c>
      <c r="B109" s="48" t="s">
        <v>145</v>
      </c>
      <c r="C109" s="48" t="s">
        <v>82</v>
      </c>
      <c r="D109" s="48" t="s">
        <v>2</v>
      </c>
      <c r="E109" s="48" t="s">
        <v>2</v>
      </c>
      <c r="F109" s="48"/>
      <c r="G109" s="214"/>
      <c r="H109" s="214"/>
      <c r="I109" s="215"/>
      <c r="J109" s="214"/>
      <c r="K109" s="192" t="e">
        <f t="shared" si="2"/>
        <v>#DIV/0!</v>
      </c>
    </row>
    <row r="110" spans="1:11" s="15" customFormat="1" ht="27" customHeight="1" hidden="1">
      <c r="A110" s="79" t="s">
        <v>171</v>
      </c>
      <c r="B110" s="80" t="s">
        <v>145</v>
      </c>
      <c r="C110" s="80" t="s">
        <v>82</v>
      </c>
      <c r="D110" s="80" t="s">
        <v>2</v>
      </c>
      <c r="E110" s="80" t="s">
        <v>2</v>
      </c>
      <c r="F110" s="48"/>
      <c r="G110" s="211"/>
      <c r="H110" s="211"/>
      <c r="I110" s="196"/>
      <c r="J110" s="211"/>
      <c r="K110" s="192" t="e">
        <f t="shared" si="2"/>
        <v>#DIV/0!</v>
      </c>
    </row>
    <row r="111" spans="1:11" s="45" customFormat="1" ht="27" customHeight="1" hidden="1">
      <c r="A111" s="81" t="s">
        <v>177</v>
      </c>
      <c r="B111" s="82" t="s">
        <v>145</v>
      </c>
      <c r="C111" s="82" t="s">
        <v>82</v>
      </c>
      <c r="D111" s="82" t="s">
        <v>178</v>
      </c>
      <c r="E111" s="82" t="s">
        <v>2</v>
      </c>
      <c r="F111" s="82"/>
      <c r="G111" s="197"/>
      <c r="H111" s="197"/>
      <c r="I111" s="198"/>
      <c r="J111" s="197"/>
      <c r="K111" s="192" t="e">
        <f t="shared" si="2"/>
        <v>#DIV/0!</v>
      </c>
    </row>
    <row r="112" spans="1:11" s="72" customFormat="1" ht="12.75" customHeight="1" hidden="1">
      <c r="A112" s="10" t="s">
        <v>4</v>
      </c>
      <c r="B112" s="14" t="s">
        <v>145</v>
      </c>
      <c r="C112" s="14" t="s">
        <v>82</v>
      </c>
      <c r="D112" s="14" t="s">
        <v>178</v>
      </c>
      <c r="E112" s="14" t="s">
        <v>5</v>
      </c>
      <c r="F112" s="70"/>
      <c r="G112" s="207"/>
      <c r="H112" s="207"/>
      <c r="I112" s="198"/>
      <c r="J112" s="207"/>
      <c r="K112" s="192" t="e">
        <f t="shared" si="2"/>
        <v>#DIV/0!</v>
      </c>
    </row>
    <row r="113" spans="1:11" s="28" customFormat="1" ht="12.75" hidden="1">
      <c r="A113" s="87" t="s">
        <v>6</v>
      </c>
      <c r="B113" s="27" t="s">
        <v>145</v>
      </c>
      <c r="C113" s="27" t="s">
        <v>82</v>
      </c>
      <c r="D113" s="27" t="s">
        <v>178</v>
      </c>
      <c r="E113" s="27" t="s">
        <v>7</v>
      </c>
      <c r="F113" s="27"/>
      <c r="G113" s="201"/>
      <c r="H113" s="201"/>
      <c r="I113" s="202"/>
      <c r="J113" s="201"/>
      <c r="K113" s="192" t="e">
        <f t="shared" si="2"/>
        <v>#DIV/0!</v>
      </c>
    </row>
    <row r="114" spans="1:11" s="28" customFormat="1" ht="12.75" hidden="1">
      <c r="A114" s="87" t="s">
        <v>13</v>
      </c>
      <c r="B114" s="27" t="s">
        <v>145</v>
      </c>
      <c r="C114" s="27" t="s">
        <v>82</v>
      </c>
      <c r="D114" s="27" t="s">
        <v>178</v>
      </c>
      <c r="E114" s="27" t="s">
        <v>14</v>
      </c>
      <c r="F114" s="27"/>
      <c r="G114" s="201"/>
      <c r="H114" s="201"/>
      <c r="I114" s="202"/>
      <c r="J114" s="201"/>
      <c r="K114" s="192" t="e">
        <f t="shared" si="2"/>
        <v>#DIV/0!</v>
      </c>
    </row>
    <row r="115" spans="1:11" s="30" customFormat="1" ht="25.5" hidden="1">
      <c r="A115" s="81" t="s">
        <v>179</v>
      </c>
      <c r="B115" s="82" t="s">
        <v>145</v>
      </c>
      <c r="C115" s="82" t="s">
        <v>82</v>
      </c>
      <c r="D115" s="82" t="s">
        <v>180</v>
      </c>
      <c r="E115" s="82" t="s">
        <v>2</v>
      </c>
      <c r="F115" s="82"/>
      <c r="G115" s="212"/>
      <c r="H115" s="212"/>
      <c r="I115" s="205"/>
      <c r="J115" s="212"/>
      <c r="K115" s="192" t="e">
        <f t="shared" si="2"/>
        <v>#DIV/0!</v>
      </c>
    </row>
    <row r="116" spans="1:11" s="84" customFormat="1" ht="12.75" customHeight="1" hidden="1">
      <c r="A116" s="10" t="s">
        <v>4</v>
      </c>
      <c r="B116" s="14" t="s">
        <v>145</v>
      </c>
      <c r="C116" s="14" t="s">
        <v>82</v>
      </c>
      <c r="D116" s="14" t="s">
        <v>180</v>
      </c>
      <c r="E116" s="14" t="s">
        <v>5</v>
      </c>
      <c r="F116" s="70"/>
      <c r="G116" s="216"/>
      <c r="H116" s="216"/>
      <c r="I116" s="205"/>
      <c r="J116" s="216"/>
      <c r="K116" s="192" t="e">
        <f t="shared" si="2"/>
        <v>#DIV/0!</v>
      </c>
    </row>
    <row r="117" spans="1:11" s="92" customFormat="1" ht="12.75" hidden="1">
      <c r="A117" s="87" t="s">
        <v>6</v>
      </c>
      <c r="B117" s="27" t="s">
        <v>145</v>
      </c>
      <c r="C117" s="27" t="s">
        <v>82</v>
      </c>
      <c r="D117" s="27" t="s">
        <v>180</v>
      </c>
      <c r="E117" s="27" t="s">
        <v>7</v>
      </c>
      <c r="F117" s="88"/>
      <c r="G117" s="209"/>
      <c r="H117" s="209"/>
      <c r="I117" s="202"/>
      <c r="J117" s="209"/>
      <c r="K117" s="192" t="e">
        <f t="shared" si="2"/>
        <v>#DIV/0!</v>
      </c>
    </row>
    <row r="118" spans="1:11" s="92" customFormat="1" ht="12.75" hidden="1">
      <c r="A118" s="87" t="s">
        <v>13</v>
      </c>
      <c r="B118" s="27" t="s">
        <v>145</v>
      </c>
      <c r="C118" s="27" t="s">
        <v>82</v>
      </c>
      <c r="D118" s="27" t="s">
        <v>180</v>
      </c>
      <c r="E118" s="27" t="s">
        <v>14</v>
      </c>
      <c r="F118" s="88"/>
      <c r="G118" s="209"/>
      <c r="H118" s="209"/>
      <c r="I118" s="202"/>
      <c r="J118" s="209"/>
      <c r="K118" s="192" t="e">
        <f t="shared" si="2"/>
        <v>#DIV/0!</v>
      </c>
    </row>
    <row r="119" spans="1:11" s="84" customFormat="1" ht="12.75" hidden="1">
      <c r="A119" s="47" t="s">
        <v>174</v>
      </c>
      <c r="B119" s="48" t="s">
        <v>145</v>
      </c>
      <c r="C119" s="48" t="s">
        <v>82</v>
      </c>
      <c r="D119" s="48" t="s">
        <v>175</v>
      </c>
      <c r="E119" s="48" t="s">
        <v>2</v>
      </c>
      <c r="F119" s="82"/>
      <c r="G119" s="216"/>
      <c r="H119" s="216"/>
      <c r="I119" s="205"/>
      <c r="J119" s="216"/>
      <c r="K119" s="192" t="e">
        <f t="shared" si="2"/>
        <v>#DIV/0!</v>
      </c>
    </row>
    <row r="120" spans="1:11" s="45" customFormat="1" ht="12.75" customHeight="1" hidden="1">
      <c r="A120" s="43" t="s">
        <v>4</v>
      </c>
      <c r="B120" s="14" t="s">
        <v>145</v>
      </c>
      <c r="C120" s="14" t="s">
        <v>82</v>
      </c>
      <c r="D120" s="14" t="s">
        <v>175</v>
      </c>
      <c r="E120" s="44" t="s">
        <v>5</v>
      </c>
      <c r="F120" s="44"/>
      <c r="G120" s="197"/>
      <c r="H120" s="197"/>
      <c r="I120" s="198"/>
      <c r="J120" s="197"/>
      <c r="K120" s="192" t="e">
        <f t="shared" si="2"/>
        <v>#DIV/0!</v>
      </c>
    </row>
    <row r="121" spans="1:11" s="28" customFormat="1" ht="12.75" hidden="1">
      <c r="A121" s="87" t="s">
        <v>6</v>
      </c>
      <c r="B121" s="27" t="s">
        <v>145</v>
      </c>
      <c r="C121" s="27" t="s">
        <v>82</v>
      </c>
      <c r="D121" s="27" t="s">
        <v>175</v>
      </c>
      <c r="E121" s="27" t="s">
        <v>7</v>
      </c>
      <c r="F121" s="27"/>
      <c r="G121" s="201"/>
      <c r="H121" s="201"/>
      <c r="I121" s="202"/>
      <c r="J121" s="201"/>
      <c r="K121" s="192" t="e">
        <f t="shared" si="2"/>
        <v>#DIV/0!</v>
      </c>
    </row>
    <row r="122" spans="1:11" s="28" customFormat="1" ht="12.75" hidden="1">
      <c r="A122" s="87" t="s">
        <v>8</v>
      </c>
      <c r="B122" s="27" t="s">
        <v>145</v>
      </c>
      <c r="C122" s="27" t="s">
        <v>82</v>
      </c>
      <c r="D122" s="27" t="s">
        <v>175</v>
      </c>
      <c r="E122" s="27" t="s">
        <v>9</v>
      </c>
      <c r="F122" s="27"/>
      <c r="G122" s="201"/>
      <c r="H122" s="201"/>
      <c r="I122" s="202"/>
      <c r="J122" s="201"/>
      <c r="K122" s="192" t="e">
        <f t="shared" si="2"/>
        <v>#DIV/0!</v>
      </c>
    </row>
    <row r="123" spans="1:11" ht="25.5" hidden="1">
      <c r="A123" s="11" t="s">
        <v>10</v>
      </c>
      <c r="B123" s="4"/>
      <c r="C123" s="4"/>
      <c r="D123" s="4"/>
      <c r="E123" s="4"/>
      <c r="F123" s="4" t="s">
        <v>183</v>
      </c>
      <c r="G123" s="200"/>
      <c r="H123" s="200"/>
      <c r="I123" s="199"/>
      <c r="J123" s="200"/>
      <c r="K123" s="192" t="e">
        <f t="shared" si="2"/>
        <v>#DIV/0!</v>
      </c>
    </row>
    <row r="124" spans="1:11" ht="12.75" customHeight="1" hidden="1">
      <c r="A124" s="12" t="s">
        <v>11</v>
      </c>
      <c r="B124" s="4"/>
      <c r="C124" s="4"/>
      <c r="D124" s="4"/>
      <c r="E124" s="4"/>
      <c r="F124" s="4" t="s">
        <v>200</v>
      </c>
      <c r="G124" s="200"/>
      <c r="H124" s="200"/>
      <c r="I124" s="199"/>
      <c r="J124" s="200"/>
      <c r="K124" s="192" t="e">
        <f t="shared" si="2"/>
        <v>#DIV/0!</v>
      </c>
    </row>
    <row r="125" spans="1:11" ht="26.25" customHeight="1" hidden="1">
      <c r="A125" s="6" t="s">
        <v>12</v>
      </c>
      <c r="B125" s="4"/>
      <c r="C125" s="4"/>
      <c r="D125" s="4"/>
      <c r="E125" s="4"/>
      <c r="F125" s="4" t="s">
        <v>184</v>
      </c>
      <c r="G125" s="200"/>
      <c r="H125" s="200"/>
      <c r="I125" s="199"/>
      <c r="J125" s="200"/>
      <c r="K125" s="192" t="e">
        <f t="shared" si="2"/>
        <v>#DIV/0!</v>
      </c>
    </row>
    <row r="126" spans="1:11" s="28" customFormat="1" ht="12.75" hidden="1">
      <c r="A126" s="87" t="s">
        <v>13</v>
      </c>
      <c r="B126" s="27" t="s">
        <v>145</v>
      </c>
      <c r="C126" s="27" t="s">
        <v>82</v>
      </c>
      <c r="D126" s="27" t="s">
        <v>175</v>
      </c>
      <c r="E126" s="27" t="s">
        <v>14</v>
      </c>
      <c r="F126" s="27"/>
      <c r="G126" s="201"/>
      <c r="H126" s="201"/>
      <c r="I126" s="202"/>
      <c r="J126" s="201"/>
      <c r="K126" s="192" t="e">
        <f t="shared" si="2"/>
        <v>#DIV/0!</v>
      </c>
    </row>
    <row r="127" spans="1:11" s="45" customFormat="1" ht="12.75" hidden="1">
      <c r="A127" s="43" t="s">
        <v>15</v>
      </c>
      <c r="B127" s="44" t="s">
        <v>145</v>
      </c>
      <c r="C127" s="44" t="s">
        <v>82</v>
      </c>
      <c r="D127" s="44" t="s">
        <v>175</v>
      </c>
      <c r="E127" s="44" t="s">
        <v>16</v>
      </c>
      <c r="F127" s="44"/>
      <c r="G127" s="197"/>
      <c r="H127" s="197"/>
      <c r="I127" s="198"/>
      <c r="J127" s="197"/>
      <c r="K127" s="192" t="e">
        <f t="shared" si="2"/>
        <v>#DIV/0!</v>
      </c>
    </row>
    <row r="128" spans="1:11" s="28" customFormat="1" ht="12.75" hidden="1">
      <c r="A128" s="87" t="s">
        <v>17</v>
      </c>
      <c r="B128" s="27" t="s">
        <v>145</v>
      </c>
      <c r="C128" s="27" t="s">
        <v>82</v>
      </c>
      <c r="D128" s="27" t="s">
        <v>175</v>
      </c>
      <c r="E128" s="27" t="s">
        <v>18</v>
      </c>
      <c r="F128" s="27"/>
      <c r="G128" s="201"/>
      <c r="H128" s="201"/>
      <c r="I128" s="202"/>
      <c r="J128" s="201"/>
      <c r="K128" s="192" t="e">
        <f t="shared" si="2"/>
        <v>#DIV/0!</v>
      </c>
    </row>
    <row r="129" spans="1:11" s="28" customFormat="1" ht="12.75" hidden="1">
      <c r="A129" s="87" t="s">
        <v>21</v>
      </c>
      <c r="B129" s="27" t="s">
        <v>145</v>
      </c>
      <c r="C129" s="27" t="s">
        <v>82</v>
      </c>
      <c r="D129" s="27" t="s">
        <v>175</v>
      </c>
      <c r="E129" s="27" t="s">
        <v>19</v>
      </c>
      <c r="F129" s="27"/>
      <c r="G129" s="201"/>
      <c r="H129" s="201"/>
      <c r="I129" s="202"/>
      <c r="J129" s="201"/>
      <c r="K129" s="192" t="e">
        <f t="shared" si="2"/>
        <v>#DIV/0!</v>
      </c>
    </row>
    <row r="130" spans="1:11" ht="25.5" hidden="1">
      <c r="A130" s="11" t="s">
        <v>20</v>
      </c>
      <c r="B130" s="4"/>
      <c r="C130" s="4"/>
      <c r="D130" s="4"/>
      <c r="E130" s="4"/>
      <c r="F130" s="4" t="s">
        <v>183</v>
      </c>
      <c r="G130" s="200"/>
      <c r="H130" s="200"/>
      <c r="I130" s="199"/>
      <c r="J130" s="200"/>
      <c r="K130" s="192" t="e">
        <f t="shared" si="2"/>
        <v>#DIV/0!</v>
      </c>
    </row>
    <row r="131" spans="1:11" ht="38.25" hidden="1">
      <c r="A131" s="8" t="s">
        <v>22</v>
      </c>
      <c r="B131" s="4"/>
      <c r="C131" s="4"/>
      <c r="D131" s="4"/>
      <c r="E131" s="4"/>
      <c r="F131" s="4" t="s">
        <v>185</v>
      </c>
      <c r="G131" s="200"/>
      <c r="H131" s="200"/>
      <c r="I131" s="199"/>
      <c r="J131" s="200"/>
      <c r="K131" s="192" t="e">
        <f t="shared" si="2"/>
        <v>#DIV/0!</v>
      </c>
    </row>
    <row r="132" spans="1:11" s="28" customFormat="1" ht="12.75" hidden="1">
      <c r="A132" s="87" t="s">
        <v>23</v>
      </c>
      <c r="B132" s="27" t="s">
        <v>145</v>
      </c>
      <c r="C132" s="27" t="s">
        <v>82</v>
      </c>
      <c r="D132" s="27" t="s">
        <v>175</v>
      </c>
      <c r="E132" s="27" t="s">
        <v>24</v>
      </c>
      <c r="F132" s="27"/>
      <c r="G132" s="201"/>
      <c r="H132" s="201"/>
      <c r="I132" s="202"/>
      <c r="J132" s="201"/>
      <c r="K132" s="192" t="e">
        <f t="shared" si="2"/>
        <v>#DIV/0!</v>
      </c>
    </row>
    <row r="133" spans="1:11" ht="12.75" customHeight="1" hidden="1">
      <c r="A133" s="7" t="s">
        <v>25</v>
      </c>
      <c r="B133" s="4"/>
      <c r="C133" s="4"/>
      <c r="D133" s="4"/>
      <c r="E133" s="4"/>
      <c r="F133" s="4" t="s">
        <v>186</v>
      </c>
      <c r="G133" s="200"/>
      <c r="H133" s="200"/>
      <c r="I133" s="199"/>
      <c r="J133" s="200"/>
      <c r="K133" s="192" t="e">
        <f t="shared" si="2"/>
        <v>#DIV/0!</v>
      </c>
    </row>
    <row r="134" spans="1:11" ht="12.75" customHeight="1" hidden="1">
      <c r="A134" s="7" t="s">
        <v>26</v>
      </c>
      <c r="B134" s="4"/>
      <c r="C134" s="4"/>
      <c r="D134" s="4"/>
      <c r="E134" s="4"/>
      <c r="F134" s="4" t="s">
        <v>187</v>
      </c>
      <c r="G134" s="200"/>
      <c r="H134" s="200"/>
      <c r="I134" s="199"/>
      <c r="J134" s="200"/>
      <c r="K134" s="192" t="e">
        <f t="shared" si="2"/>
        <v>#DIV/0!</v>
      </c>
    </row>
    <row r="135" spans="1:11" ht="12.75" hidden="1">
      <c r="A135" s="7" t="s">
        <v>27</v>
      </c>
      <c r="B135" s="4"/>
      <c r="C135" s="4"/>
      <c r="D135" s="4"/>
      <c r="E135" s="4"/>
      <c r="F135" s="4" t="s">
        <v>188</v>
      </c>
      <c r="G135" s="200"/>
      <c r="H135" s="200"/>
      <c r="I135" s="199"/>
      <c r="J135" s="200"/>
      <c r="K135" s="192" t="e">
        <f t="shared" si="2"/>
        <v>#DIV/0!</v>
      </c>
    </row>
    <row r="136" spans="1:11" s="28" customFormat="1" ht="15" customHeight="1" hidden="1">
      <c r="A136" s="87" t="s">
        <v>28</v>
      </c>
      <c r="B136" s="27" t="s">
        <v>145</v>
      </c>
      <c r="C136" s="27" t="s">
        <v>82</v>
      </c>
      <c r="D136" s="27" t="s">
        <v>175</v>
      </c>
      <c r="E136" s="27" t="s">
        <v>29</v>
      </c>
      <c r="F136" s="27"/>
      <c r="G136" s="201"/>
      <c r="H136" s="201"/>
      <c r="I136" s="202"/>
      <c r="J136" s="201"/>
      <c r="K136" s="192" t="e">
        <f t="shared" si="2"/>
        <v>#DIV/0!</v>
      </c>
    </row>
    <row r="137" spans="1:11" s="28" customFormat="1" ht="12.75" hidden="1">
      <c r="A137" s="87" t="s">
        <v>30</v>
      </c>
      <c r="B137" s="27" t="s">
        <v>145</v>
      </c>
      <c r="C137" s="27" t="s">
        <v>82</v>
      </c>
      <c r="D137" s="27" t="s">
        <v>175</v>
      </c>
      <c r="E137" s="27" t="s">
        <v>31</v>
      </c>
      <c r="F137" s="27"/>
      <c r="G137" s="201"/>
      <c r="H137" s="201"/>
      <c r="I137" s="202"/>
      <c r="J137" s="201"/>
      <c r="K137" s="192" t="e">
        <f t="shared" si="2"/>
        <v>#DIV/0!</v>
      </c>
    </row>
    <row r="138" spans="1:11" s="30" customFormat="1" ht="12.75" hidden="1">
      <c r="A138" s="7" t="s">
        <v>32</v>
      </c>
      <c r="B138" s="29"/>
      <c r="C138" s="29"/>
      <c r="D138" s="29"/>
      <c r="E138" s="29"/>
      <c r="F138" s="17" t="s">
        <v>189</v>
      </c>
      <c r="G138" s="212"/>
      <c r="H138" s="212"/>
      <c r="I138" s="205"/>
      <c r="J138" s="212"/>
      <c r="K138" s="192" t="e">
        <f t="shared" si="2"/>
        <v>#DIV/0!</v>
      </c>
    </row>
    <row r="139" spans="1:11" s="18" customFormat="1" ht="12.75" hidden="1">
      <c r="A139" s="7" t="s">
        <v>33</v>
      </c>
      <c r="B139" s="17"/>
      <c r="C139" s="17"/>
      <c r="D139" s="17"/>
      <c r="E139" s="17"/>
      <c r="F139" s="17" t="s">
        <v>191</v>
      </c>
      <c r="G139" s="186"/>
      <c r="H139" s="186"/>
      <c r="I139" s="213"/>
      <c r="J139" s="186"/>
      <c r="K139" s="192" t="e">
        <f aca="true" t="shared" si="3" ref="K139:K202">J139*100/I139</f>
        <v>#DIV/0!</v>
      </c>
    </row>
    <row r="140" spans="1:11" s="18" customFormat="1" ht="25.5" hidden="1">
      <c r="A140" s="7" t="s">
        <v>34</v>
      </c>
      <c r="B140" s="17"/>
      <c r="C140" s="17"/>
      <c r="D140" s="17"/>
      <c r="E140" s="17"/>
      <c r="F140" s="17" t="s">
        <v>221</v>
      </c>
      <c r="G140" s="186"/>
      <c r="H140" s="186"/>
      <c r="I140" s="213"/>
      <c r="J140" s="186"/>
      <c r="K140" s="192" t="e">
        <f t="shared" si="3"/>
        <v>#DIV/0!</v>
      </c>
    </row>
    <row r="141" spans="1:11" s="18" customFormat="1" ht="25.5" hidden="1">
      <c r="A141" s="7" t="s">
        <v>35</v>
      </c>
      <c r="B141" s="17"/>
      <c r="C141" s="17"/>
      <c r="D141" s="17"/>
      <c r="E141" s="17"/>
      <c r="F141" s="17" t="s">
        <v>190</v>
      </c>
      <c r="G141" s="186"/>
      <c r="H141" s="186"/>
      <c r="I141" s="213"/>
      <c r="J141" s="186"/>
      <c r="K141" s="192" t="e">
        <f t="shared" si="3"/>
        <v>#DIV/0!</v>
      </c>
    </row>
    <row r="142" spans="1:11" s="18" customFormat="1" ht="51" hidden="1">
      <c r="A142" s="7" t="s">
        <v>36</v>
      </c>
      <c r="B142" s="17"/>
      <c r="C142" s="17"/>
      <c r="D142" s="17"/>
      <c r="E142" s="17"/>
      <c r="F142" s="17" t="s">
        <v>224</v>
      </c>
      <c r="G142" s="186"/>
      <c r="H142" s="186"/>
      <c r="I142" s="213"/>
      <c r="J142" s="186"/>
      <c r="K142" s="192" t="e">
        <f t="shared" si="3"/>
        <v>#DIV/0!</v>
      </c>
    </row>
    <row r="143" spans="1:11" s="28" customFormat="1" ht="12.75" hidden="1">
      <c r="A143" s="87" t="s">
        <v>37</v>
      </c>
      <c r="B143" s="27" t="s">
        <v>145</v>
      </c>
      <c r="C143" s="27" t="s">
        <v>82</v>
      </c>
      <c r="D143" s="27" t="s">
        <v>175</v>
      </c>
      <c r="E143" s="27" t="s">
        <v>38</v>
      </c>
      <c r="F143" s="27"/>
      <c r="G143" s="201"/>
      <c r="H143" s="201"/>
      <c r="I143" s="202"/>
      <c r="J143" s="201"/>
      <c r="K143" s="192" t="e">
        <f t="shared" si="3"/>
        <v>#DIV/0!</v>
      </c>
    </row>
    <row r="144" spans="1:11" s="21" customFormat="1" ht="38.25" hidden="1">
      <c r="A144" s="11" t="s">
        <v>39</v>
      </c>
      <c r="B144" s="20"/>
      <c r="C144" s="20"/>
      <c r="D144" s="20"/>
      <c r="E144" s="20"/>
      <c r="F144" s="20" t="s">
        <v>183</v>
      </c>
      <c r="G144" s="214"/>
      <c r="H144" s="214"/>
      <c r="I144" s="215"/>
      <c r="J144" s="214"/>
      <c r="K144" s="192" t="e">
        <f t="shared" si="3"/>
        <v>#DIV/0!</v>
      </c>
    </row>
    <row r="145" spans="1:11" s="21" customFormat="1" ht="38.25" hidden="1">
      <c r="A145" s="19" t="s">
        <v>40</v>
      </c>
      <c r="B145" s="20"/>
      <c r="C145" s="20"/>
      <c r="D145" s="20"/>
      <c r="E145" s="20"/>
      <c r="F145" s="20" t="s">
        <v>222</v>
      </c>
      <c r="G145" s="214"/>
      <c r="H145" s="214"/>
      <c r="I145" s="215"/>
      <c r="J145" s="214"/>
      <c r="K145" s="192" t="e">
        <f t="shared" si="3"/>
        <v>#DIV/0!</v>
      </c>
    </row>
    <row r="146" spans="1:11" s="21" customFormat="1" ht="25.5" customHeight="1" hidden="1">
      <c r="A146" s="12" t="s">
        <v>41</v>
      </c>
      <c r="B146" s="20"/>
      <c r="C146" s="20"/>
      <c r="D146" s="20"/>
      <c r="E146" s="20"/>
      <c r="F146" s="20" t="s">
        <v>192</v>
      </c>
      <c r="G146" s="214"/>
      <c r="H146" s="214"/>
      <c r="I146" s="215"/>
      <c r="J146" s="214"/>
      <c r="K146" s="192" t="e">
        <f t="shared" si="3"/>
        <v>#DIV/0!</v>
      </c>
    </row>
    <row r="147" spans="1:11" s="45" customFormat="1" ht="12.75" hidden="1">
      <c r="A147" s="43" t="s">
        <v>42</v>
      </c>
      <c r="B147" s="44" t="s">
        <v>145</v>
      </c>
      <c r="C147" s="44" t="s">
        <v>82</v>
      </c>
      <c r="D147" s="44" t="s">
        <v>175</v>
      </c>
      <c r="E147" s="44" t="s">
        <v>43</v>
      </c>
      <c r="F147" s="44"/>
      <c r="G147" s="197"/>
      <c r="H147" s="197"/>
      <c r="I147" s="198"/>
      <c r="J147" s="197"/>
      <c r="K147" s="192" t="e">
        <f t="shared" si="3"/>
        <v>#DIV/0!</v>
      </c>
    </row>
    <row r="148" spans="1:11" s="28" customFormat="1" ht="12.75" hidden="1">
      <c r="A148" s="87" t="s">
        <v>44</v>
      </c>
      <c r="B148" s="27" t="s">
        <v>145</v>
      </c>
      <c r="C148" s="27" t="s">
        <v>82</v>
      </c>
      <c r="D148" s="27" t="s">
        <v>175</v>
      </c>
      <c r="E148" s="27" t="s">
        <v>45</v>
      </c>
      <c r="F148" s="27"/>
      <c r="G148" s="201"/>
      <c r="H148" s="201"/>
      <c r="I148" s="202"/>
      <c r="J148" s="201"/>
      <c r="K148" s="192" t="e">
        <f t="shared" si="3"/>
        <v>#DIV/0!</v>
      </c>
    </row>
    <row r="149" spans="1:11" s="21" customFormat="1" ht="12.75" hidden="1">
      <c r="A149" s="6" t="s">
        <v>46</v>
      </c>
      <c r="B149" s="20"/>
      <c r="C149" s="20"/>
      <c r="D149" s="20"/>
      <c r="E149" s="20"/>
      <c r="F149" s="20"/>
      <c r="G149" s="214"/>
      <c r="H149" s="214"/>
      <c r="I149" s="215"/>
      <c r="J149" s="214"/>
      <c r="K149" s="192" t="e">
        <f t="shared" si="3"/>
        <v>#DIV/0!</v>
      </c>
    </row>
    <row r="150" spans="1:11" s="45" customFormat="1" ht="12.75" hidden="1">
      <c r="A150" s="43" t="s">
        <v>47</v>
      </c>
      <c r="B150" s="44" t="s">
        <v>145</v>
      </c>
      <c r="C150" s="44" t="s">
        <v>82</v>
      </c>
      <c r="D150" s="44" t="s">
        <v>175</v>
      </c>
      <c r="E150" s="44" t="s">
        <v>48</v>
      </c>
      <c r="F150" s="44"/>
      <c r="G150" s="197"/>
      <c r="H150" s="197"/>
      <c r="I150" s="198"/>
      <c r="J150" s="197"/>
      <c r="K150" s="192" t="e">
        <f t="shared" si="3"/>
        <v>#DIV/0!</v>
      </c>
    </row>
    <row r="151" spans="1:11" s="21" customFormat="1" ht="27.75" customHeight="1" hidden="1">
      <c r="A151" s="12" t="s">
        <v>41</v>
      </c>
      <c r="B151" s="20"/>
      <c r="C151" s="20"/>
      <c r="D151" s="20"/>
      <c r="E151" s="20"/>
      <c r="F151" s="20"/>
      <c r="G151" s="214"/>
      <c r="H151" s="214"/>
      <c r="I151" s="215"/>
      <c r="J151" s="214"/>
      <c r="K151" s="192" t="e">
        <f t="shared" si="3"/>
        <v>#DIV/0!</v>
      </c>
    </row>
    <row r="152" spans="1:11" s="45" customFormat="1" ht="12.75" hidden="1">
      <c r="A152" s="43" t="s">
        <v>49</v>
      </c>
      <c r="B152" s="44" t="s">
        <v>145</v>
      </c>
      <c r="C152" s="44" t="s">
        <v>82</v>
      </c>
      <c r="D152" s="44" t="s">
        <v>175</v>
      </c>
      <c r="E152" s="44" t="s">
        <v>50</v>
      </c>
      <c r="F152" s="44"/>
      <c r="G152" s="197"/>
      <c r="H152" s="197"/>
      <c r="I152" s="198"/>
      <c r="J152" s="197"/>
      <c r="K152" s="192" t="e">
        <f t="shared" si="3"/>
        <v>#DIV/0!</v>
      </c>
    </row>
    <row r="153" spans="1:11" s="28" customFormat="1" ht="12.75" hidden="1">
      <c r="A153" s="87" t="s">
        <v>51</v>
      </c>
      <c r="B153" s="27" t="s">
        <v>145</v>
      </c>
      <c r="C153" s="27" t="s">
        <v>82</v>
      </c>
      <c r="D153" s="27" t="s">
        <v>175</v>
      </c>
      <c r="E153" s="27" t="s">
        <v>52</v>
      </c>
      <c r="F153" s="27"/>
      <c r="G153" s="201"/>
      <c r="H153" s="201"/>
      <c r="I153" s="202"/>
      <c r="J153" s="201"/>
      <c r="K153" s="192" t="e">
        <f t="shared" si="3"/>
        <v>#DIV/0!</v>
      </c>
    </row>
    <row r="154" spans="1:11" s="21" customFormat="1" ht="12.75" hidden="1">
      <c r="A154" s="7" t="s">
        <v>53</v>
      </c>
      <c r="B154" s="20"/>
      <c r="C154" s="20"/>
      <c r="D154" s="20"/>
      <c r="E154" s="20"/>
      <c r="F154" s="20" t="s">
        <v>223</v>
      </c>
      <c r="G154" s="214"/>
      <c r="H154" s="214"/>
      <c r="I154" s="215"/>
      <c r="J154" s="214"/>
      <c r="K154" s="192" t="e">
        <f t="shared" si="3"/>
        <v>#DIV/0!</v>
      </c>
    </row>
    <row r="155" spans="1:11" s="21" customFormat="1" ht="38.25" customHeight="1" hidden="1">
      <c r="A155" s="7" t="s">
        <v>54</v>
      </c>
      <c r="B155" s="20"/>
      <c r="C155" s="20"/>
      <c r="D155" s="20"/>
      <c r="E155" s="20"/>
      <c r="F155" s="20" t="s">
        <v>194</v>
      </c>
      <c r="G155" s="214"/>
      <c r="H155" s="214"/>
      <c r="I155" s="215"/>
      <c r="J155" s="214"/>
      <c r="K155" s="192" t="e">
        <f t="shared" si="3"/>
        <v>#DIV/0!</v>
      </c>
    </row>
    <row r="156" spans="1:11" s="21" customFormat="1" ht="53.25" customHeight="1" hidden="1">
      <c r="A156" s="7" t="s">
        <v>55</v>
      </c>
      <c r="B156" s="20"/>
      <c r="C156" s="20"/>
      <c r="D156" s="20"/>
      <c r="E156" s="20"/>
      <c r="F156" s="20" t="s">
        <v>193</v>
      </c>
      <c r="G156" s="214"/>
      <c r="H156" s="214"/>
      <c r="I156" s="215"/>
      <c r="J156" s="214"/>
      <c r="K156" s="192" t="e">
        <f t="shared" si="3"/>
        <v>#DIV/0!</v>
      </c>
    </row>
    <row r="157" spans="1:11" s="28" customFormat="1" ht="16.5" customHeight="1" hidden="1">
      <c r="A157" s="87" t="s">
        <v>56</v>
      </c>
      <c r="B157" s="27" t="s">
        <v>145</v>
      </c>
      <c r="C157" s="27" t="s">
        <v>82</v>
      </c>
      <c r="D157" s="27" t="s">
        <v>175</v>
      </c>
      <c r="E157" s="27" t="s">
        <v>57</v>
      </c>
      <c r="F157" s="27"/>
      <c r="G157" s="201"/>
      <c r="H157" s="201"/>
      <c r="I157" s="202"/>
      <c r="J157" s="201"/>
      <c r="K157" s="192" t="e">
        <f t="shared" si="3"/>
        <v>#DIV/0!</v>
      </c>
    </row>
    <row r="158" spans="1:11" s="21" customFormat="1" ht="25.5" hidden="1">
      <c r="A158" s="7" t="s">
        <v>58</v>
      </c>
      <c r="B158" s="20"/>
      <c r="C158" s="20"/>
      <c r="D158" s="20"/>
      <c r="E158" s="20"/>
      <c r="F158" s="20" t="s">
        <v>195</v>
      </c>
      <c r="G158" s="214"/>
      <c r="H158" s="214"/>
      <c r="I158" s="215"/>
      <c r="J158" s="214"/>
      <c r="K158" s="192" t="e">
        <f t="shared" si="3"/>
        <v>#DIV/0!</v>
      </c>
    </row>
    <row r="159" spans="1:11" s="21" customFormat="1" ht="12.75" hidden="1">
      <c r="A159" s="7" t="s">
        <v>59</v>
      </c>
      <c r="B159" s="20"/>
      <c r="C159" s="20"/>
      <c r="D159" s="20"/>
      <c r="E159" s="20"/>
      <c r="F159" s="20" t="s">
        <v>196</v>
      </c>
      <c r="G159" s="214"/>
      <c r="H159" s="214"/>
      <c r="I159" s="215"/>
      <c r="J159" s="214"/>
      <c r="K159" s="192" t="e">
        <f t="shared" si="3"/>
        <v>#DIV/0!</v>
      </c>
    </row>
    <row r="160" spans="1:11" s="21" customFormat="1" ht="12.75" hidden="1">
      <c r="A160" s="7" t="s">
        <v>60</v>
      </c>
      <c r="B160" s="20"/>
      <c r="C160" s="20"/>
      <c r="D160" s="20"/>
      <c r="E160" s="20"/>
      <c r="F160" s="20" t="s">
        <v>197</v>
      </c>
      <c r="G160" s="214"/>
      <c r="H160" s="214"/>
      <c r="I160" s="215"/>
      <c r="J160" s="214"/>
      <c r="K160" s="192" t="e">
        <f t="shared" si="3"/>
        <v>#DIV/0!</v>
      </c>
    </row>
    <row r="161" spans="1:11" s="21" customFormat="1" ht="39" customHeight="1" hidden="1">
      <c r="A161" s="7" t="s">
        <v>61</v>
      </c>
      <c r="B161" s="20"/>
      <c r="C161" s="20"/>
      <c r="D161" s="20"/>
      <c r="E161" s="20"/>
      <c r="F161" s="20" t="s">
        <v>198</v>
      </c>
      <c r="G161" s="214"/>
      <c r="H161" s="214"/>
      <c r="I161" s="215"/>
      <c r="J161" s="214"/>
      <c r="K161" s="192" t="e">
        <f t="shared" si="3"/>
        <v>#DIV/0!</v>
      </c>
    </row>
    <row r="162" spans="1:11" s="21" customFormat="1" ht="22.5" customHeight="1">
      <c r="A162" s="11" t="s">
        <v>10</v>
      </c>
      <c r="B162" s="20"/>
      <c r="C162" s="20"/>
      <c r="D162" s="20"/>
      <c r="E162" s="20"/>
      <c r="F162" s="20" t="s">
        <v>371</v>
      </c>
      <c r="G162" s="214">
        <v>6630</v>
      </c>
      <c r="H162" s="214">
        <v>2210</v>
      </c>
      <c r="I162" s="215">
        <f>1360</f>
        <v>1360</v>
      </c>
      <c r="J162" s="214">
        <v>1360</v>
      </c>
      <c r="K162" s="192">
        <f t="shared" si="3"/>
        <v>100</v>
      </c>
    </row>
    <row r="163" spans="1:11" s="21" customFormat="1" ht="15" customHeight="1">
      <c r="A163" s="12" t="s">
        <v>343</v>
      </c>
      <c r="B163" s="20"/>
      <c r="C163" s="20"/>
      <c r="D163" s="20"/>
      <c r="E163" s="20"/>
      <c r="F163" s="20"/>
      <c r="G163" s="214"/>
      <c r="H163" s="214">
        <v>0</v>
      </c>
      <c r="I163" s="215"/>
      <c r="J163" s="214"/>
      <c r="K163" s="192"/>
    </row>
    <row r="164" spans="1:11" s="21" customFormat="1" ht="24.75" customHeight="1">
      <c r="A164" s="6" t="s">
        <v>12</v>
      </c>
      <c r="B164" s="20"/>
      <c r="C164" s="20"/>
      <c r="D164" s="20"/>
      <c r="E164" s="20"/>
      <c r="F164" s="20" t="s">
        <v>370</v>
      </c>
      <c r="G164" s="214">
        <v>45000</v>
      </c>
      <c r="H164" s="214">
        <v>45000</v>
      </c>
      <c r="I164" s="215"/>
      <c r="J164" s="214"/>
      <c r="K164" s="192"/>
    </row>
    <row r="165" spans="1:11" s="21" customFormat="1" ht="14.25" customHeight="1">
      <c r="A165" s="87" t="s">
        <v>13</v>
      </c>
      <c r="B165" s="20" t="s">
        <v>145</v>
      </c>
      <c r="C165" s="20" t="s">
        <v>232</v>
      </c>
      <c r="D165" s="20" t="s">
        <v>175</v>
      </c>
      <c r="E165" s="4" t="s">
        <v>14</v>
      </c>
      <c r="F165" s="20" t="s">
        <v>369</v>
      </c>
      <c r="G165" s="214"/>
      <c r="H165" s="214">
        <v>0</v>
      </c>
      <c r="I165" s="215"/>
      <c r="J165" s="214"/>
      <c r="K165" s="192"/>
    </row>
    <row r="166" spans="1:11" s="21" customFormat="1" ht="17.25" customHeight="1">
      <c r="A166" s="43" t="s">
        <v>15</v>
      </c>
      <c r="B166" s="14" t="s">
        <v>145</v>
      </c>
      <c r="C166" s="14" t="s">
        <v>232</v>
      </c>
      <c r="D166" s="14" t="s">
        <v>175</v>
      </c>
      <c r="E166" s="14" t="s">
        <v>16</v>
      </c>
      <c r="F166" s="20"/>
      <c r="G166" s="211">
        <f>G167+G168+G171+G175+G176+G182</f>
        <v>149000</v>
      </c>
      <c r="H166" s="211">
        <f>H167+H168+H171+H175+H176+H182</f>
        <v>47630</v>
      </c>
      <c r="I166" s="211">
        <f>I167+I168+I171+I175+I176+I182</f>
        <v>35130</v>
      </c>
      <c r="J166" s="211">
        <f>J167+J168+J171+J175+J176+J182</f>
        <v>32805</v>
      </c>
      <c r="K166" s="192">
        <f t="shared" si="3"/>
        <v>93.38172502134927</v>
      </c>
    </row>
    <row r="167" spans="1:11" s="21" customFormat="1" ht="12.75" customHeight="1">
      <c r="A167" s="87" t="s">
        <v>341</v>
      </c>
      <c r="B167" s="20" t="s">
        <v>145</v>
      </c>
      <c r="C167" s="20" t="s">
        <v>232</v>
      </c>
      <c r="D167" s="20" t="s">
        <v>175</v>
      </c>
      <c r="E167" s="20" t="s">
        <v>18</v>
      </c>
      <c r="F167" s="20" t="s">
        <v>369</v>
      </c>
      <c r="G167" s="214"/>
      <c r="H167" s="214">
        <v>0</v>
      </c>
      <c r="I167" s="215"/>
      <c r="J167" s="214"/>
      <c r="K167" s="192"/>
    </row>
    <row r="168" spans="1:11" s="21" customFormat="1" ht="21" customHeight="1">
      <c r="A168" s="87" t="s">
        <v>21</v>
      </c>
      <c r="B168" s="20" t="s">
        <v>145</v>
      </c>
      <c r="C168" s="20" t="s">
        <v>232</v>
      </c>
      <c r="D168" s="20" t="s">
        <v>175</v>
      </c>
      <c r="E168" s="20" t="s">
        <v>19</v>
      </c>
      <c r="F168" s="20"/>
      <c r="G168" s="214">
        <f>G169+G170</f>
        <v>67000</v>
      </c>
      <c r="H168" s="214">
        <f>H169+H170</f>
        <v>22630</v>
      </c>
      <c r="I168" s="214">
        <f>I169+I170</f>
        <v>22630</v>
      </c>
      <c r="J168" s="214">
        <f>J169+J170</f>
        <v>22305</v>
      </c>
      <c r="K168" s="192">
        <f t="shared" si="3"/>
        <v>98.56385329209014</v>
      </c>
    </row>
    <row r="169" spans="1:11" s="21" customFormat="1" ht="25.5" customHeight="1">
      <c r="A169" s="11" t="s">
        <v>344</v>
      </c>
      <c r="B169" s="20"/>
      <c r="C169" s="20"/>
      <c r="D169" s="20"/>
      <c r="E169" s="20"/>
      <c r="F169" s="20" t="s">
        <v>372</v>
      </c>
      <c r="G169" s="214">
        <v>67000</v>
      </c>
      <c r="H169" s="214">
        <f>22630</f>
        <v>22630</v>
      </c>
      <c r="I169" s="215">
        <v>22630</v>
      </c>
      <c r="J169" s="214">
        <v>22305</v>
      </c>
      <c r="K169" s="192">
        <f t="shared" si="3"/>
        <v>98.56385329209014</v>
      </c>
    </row>
    <row r="170" spans="1:11" s="21" customFormat="1" ht="23.25" customHeight="1">
      <c r="A170" s="8" t="s">
        <v>22</v>
      </c>
      <c r="B170" s="20"/>
      <c r="C170" s="20"/>
      <c r="D170" s="20"/>
      <c r="E170" s="20"/>
      <c r="F170" s="20" t="s">
        <v>374</v>
      </c>
      <c r="G170" s="214"/>
      <c r="H170" s="214">
        <v>0</v>
      </c>
      <c r="I170" s="215"/>
      <c r="J170" s="214"/>
      <c r="K170" s="192"/>
    </row>
    <row r="171" spans="1:11" s="21" customFormat="1" ht="15.75" customHeight="1">
      <c r="A171" s="87" t="s">
        <v>23</v>
      </c>
      <c r="B171" s="20" t="s">
        <v>145</v>
      </c>
      <c r="C171" s="20" t="s">
        <v>232</v>
      </c>
      <c r="D171" s="20" t="s">
        <v>175</v>
      </c>
      <c r="E171" s="20" t="s">
        <v>24</v>
      </c>
      <c r="F171" s="20"/>
      <c r="G171" s="214"/>
      <c r="H171" s="214"/>
      <c r="I171" s="215"/>
      <c r="J171" s="214"/>
      <c r="K171" s="192"/>
    </row>
    <row r="172" spans="1:11" s="21" customFormat="1" ht="15.75" customHeight="1">
      <c r="A172" s="7" t="s">
        <v>345</v>
      </c>
      <c r="B172" s="20"/>
      <c r="C172" s="20"/>
      <c r="D172" s="20"/>
      <c r="E172" s="20"/>
      <c r="F172" s="20" t="s">
        <v>373</v>
      </c>
      <c r="G172" s="214"/>
      <c r="H172" s="214">
        <v>0</v>
      </c>
      <c r="I172" s="215"/>
      <c r="J172" s="214"/>
      <c r="K172" s="192"/>
    </row>
    <row r="173" spans="1:11" s="21" customFormat="1" ht="16.5" customHeight="1">
      <c r="A173" s="7" t="s">
        <v>346</v>
      </c>
      <c r="B173" s="20"/>
      <c r="C173" s="20"/>
      <c r="D173" s="20"/>
      <c r="E173" s="20"/>
      <c r="F173" s="20" t="s">
        <v>375</v>
      </c>
      <c r="G173" s="214"/>
      <c r="H173" s="214">
        <v>0</v>
      </c>
      <c r="I173" s="215"/>
      <c r="J173" s="214"/>
      <c r="K173" s="192"/>
    </row>
    <row r="174" spans="1:11" s="21" customFormat="1" ht="15.75" customHeight="1">
      <c r="A174" s="7" t="s">
        <v>347</v>
      </c>
      <c r="B174" s="20"/>
      <c r="C174" s="20"/>
      <c r="D174" s="20"/>
      <c r="E174" s="20"/>
      <c r="F174" s="20" t="s">
        <v>376</v>
      </c>
      <c r="G174" s="214"/>
      <c r="H174" s="214">
        <v>0</v>
      </c>
      <c r="I174" s="215"/>
      <c r="J174" s="214"/>
      <c r="K174" s="192"/>
    </row>
    <row r="175" spans="1:11" s="21" customFormat="1" ht="15.75" customHeight="1">
      <c r="A175" s="87" t="s">
        <v>28</v>
      </c>
      <c r="B175" s="20" t="s">
        <v>145</v>
      </c>
      <c r="C175" s="20" t="s">
        <v>232</v>
      </c>
      <c r="D175" s="20" t="s">
        <v>175</v>
      </c>
      <c r="E175" s="20" t="s">
        <v>29</v>
      </c>
      <c r="F175" s="20"/>
      <c r="G175" s="214"/>
      <c r="H175" s="214">
        <v>0</v>
      </c>
      <c r="I175" s="215"/>
      <c r="J175" s="214"/>
      <c r="K175" s="192"/>
    </row>
    <row r="176" spans="1:11" s="21" customFormat="1" ht="14.25" customHeight="1">
      <c r="A176" s="87" t="s">
        <v>30</v>
      </c>
      <c r="B176" s="20"/>
      <c r="C176" s="20"/>
      <c r="D176" s="20"/>
      <c r="E176" s="20" t="s">
        <v>31</v>
      </c>
      <c r="F176" s="20"/>
      <c r="G176" s="214"/>
      <c r="H176" s="214"/>
      <c r="I176" s="215"/>
      <c r="J176" s="214"/>
      <c r="K176" s="192"/>
    </row>
    <row r="177" spans="1:11" s="21" customFormat="1" ht="12.75" customHeight="1">
      <c r="A177" s="7" t="s">
        <v>348</v>
      </c>
      <c r="B177" s="20"/>
      <c r="C177" s="20"/>
      <c r="D177" s="20"/>
      <c r="E177" s="20"/>
      <c r="F177" s="20" t="s">
        <v>377</v>
      </c>
      <c r="G177" s="214"/>
      <c r="H177" s="214">
        <v>0</v>
      </c>
      <c r="I177" s="215"/>
      <c r="J177" s="214"/>
      <c r="K177" s="192"/>
    </row>
    <row r="178" spans="1:11" s="21" customFormat="1" ht="15.75" customHeight="1">
      <c r="A178" s="7" t="s">
        <v>349</v>
      </c>
      <c r="B178" s="20"/>
      <c r="C178" s="20"/>
      <c r="D178" s="20"/>
      <c r="E178" s="20"/>
      <c r="F178" s="20" t="s">
        <v>376</v>
      </c>
      <c r="G178" s="214"/>
      <c r="H178" s="214">
        <v>0</v>
      </c>
      <c r="I178" s="215"/>
      <c r="J178" s="214"/>
      <c r="K178" s="192"/>
    </row>
    <row r="179" spans="1:11" s="21" customFormat="1" ht="24.75" customHeight="1">
      <c r="A179" s="7" t="s">
        <v>350</v>
      </c>
      <c r="B179" s="20"/>
      <c r="C179" s="20"/>
      <c r="D179" s="20"/>
      <c r="E179" s="20"/>
      <c r="F179" s="20" t="s">
        <v>379</v>
      </c>
      <c r="G179" s="214"/>
      <c r="H179" s="214">
        <v>0</v>
      </c>
      <c r="I179" s="215"/>
      <c r="J179" s="214"/>
      <c r="K179" s="192"/>
    </row>
    <row r="180" spans="1:11" s="21" customFormat="1" ht="14.25" customHeight="1">
      <c r="A180" s="7" t="s">
        <v>351</v>
      </c>
      <c r="B180" s="20"/>
      <c r="C180" s="20"/>
      <c r="D180" s="20"/>
      <c r="E180" s="20"/>
      <c r="F180" s="20" t="s">
        <v>380</v>
      </c>
      <c r="G180" s="214"/>
      <c r="H180" s="214">
        <v>0</v>
      </c>
      <c r="I180" s="215"/>
      <c r="J180" s="214"/>
      <c r="K180" s="192"/>
    </row>
    <row r="181" spans="1:11" s="21" customFormat="1" ht="24.75" customHeight="1">
      <c r="A181" s="7" t="s">
        <v>36</v>
      </c>
      <c r="B181" s="20"/>
      <c r="C181" s="20"/>
      <c r="D181" s="20"/>
      <c r="E181" s="20"/>
      <c r="F181" s="20"/>
      <c r="G181" s="214"/>
      <c r="H181" s="214"/>
      <c r="I181" s="215"/>
      <c r="J181" s="214"/>
      <c r="K181" s="192"/>
    </row>
    <row r="182" spans="1:11" s="21" customFormat="1" ht="12.75" customHeight="1">
      <c r="A182" s="87" t="s">
        <v>37</v>
      </c>
      <c r="B182" s="20" t="s">
        <v>145</v>
      </c>
      <c r="C182" s="20" t="s">
        <v>232</v>
      </c>
      <c r="D182" s="20" t="s">
        <v>175</v>
      </c>
      <c r="E182" s="20" t="s">
        <v>38</v>
      </c>
      <c r="F182" s="20"/>
      <c r="G182" s="214">
        <f>G183+G184+G185</f>
        <v>82000</v>
      </c>
      <c r="H182" s="214">
        <f>H183+H184+H185</f>
        <v>25000</v>
      </c>
      <c r="I182" s="214">
        <f>I183+I184+I185</f>
        <v>12500</v>
      </c>
      <c r="J182" s="214">
        <f>J183+J184+J185</f>
        <v>10500</v>
      </c>
      <c r="K182" s="192">
        <f t="shared" si="3"/>
        <v>84</v>
      </c>
    </row>
    <row r="183" spans="1:11" s="21" customFormat="1" ht="36.75" customHeight="1">
      <c r="A183" s="11" t="s">
        <v>352</v>
      </c>
      <c r="B183" s="20"/>
      <c r="C183" s="20"/>
      <c r="D183" s="20"/>
      <c r="E183" s="20"/>
      <c r="F183" s="153" t="s">
        <v>381</v>
      </c>
      <c r="G183" s="214">
        <v>82000</v>
      </c>
      <c r="H183" s="214">
        <v>25000</v>
      </c>
      <c r="I183" s="215">
        <f>12500</f>
        <v>12500</v>
      </c>
      <c r="J183" s="214">
        <v>10500</v>
      </c>
      <c r="K183" s="192">
        <f t="shared" si="3"/>
        <v>84</v>
      </c>
    </row>
    <row r="184" spans="1:11" s="21" customFormat="1" ht="39" customHeight="1">
      <c r="A184" s="19" t="s">
        <v>353</v>
      </c>
      <c r="B184" s="20"/>
      <c r="C184" s="20"/>
      <c r="D184" s="20"/>
      <c r="E184" s="20"/>
      <c r="F184" s="20" t="s">
        <v>382</v>
      </c>
      <c r="G184" s="214"/>
      <c r="H184" s="214">
        <v>0</v>
      </c>
      <c r="I184" s="215"/>
      <c r="J184" s="214"/>
      <c r="K184" s="192"/>
    </row>
    <row r="185" spans="1:11" s="21" customFormat="1" ht="26.25" customHeight="1">
      <c r="A185" s="12" t="s">
        <v>354</v>
      </c>
      <c r="B185" s="20"/>
      <c r="C185" s="20"/>
      <c r="D185" s="20"/>
      <c r="E185" s="20"/>
      <c r="F185" s="20" t="s">
        <v>382</v>
      </c>
      <c r="G185" s="214"/>
      <c r="H185" s="214">
        <v>0</v>
      </c>
      <c r="I185" s="215"/>
      <c r="J185" s="214"/>
      <c r="K185" s="192"/>
    </row>
    <row r="186" spans="1:11" s="21" customFormat="1" ht="13.5" customHeight="1">
      <c r="A186" s="43" t="s">
        <v>42</v>
      </c>
      <c r="B186" s="14" t="s">
        <v>145</v>
      </c>
      <c r="C186" s="14" t="s">
        <v>232</v>
      </c>
      <c r="D186" s="14" t="s">
        <v>175</v>
      </c>
      <c r="E186" s="14" t="s">
        <v>43</v>
      </c>
      <c r="F186" s="20"/>
      <c r="G186" s="214"/>
      <c r="H186" s="214"/>
      <c r="I186" s="215"/>
      <c r="J186" s="214"/>
      <c r="K186" s="192"/>
    </row>
    <row r="187" spans="1:11" s="21" customFormat="1" ht="12" customHeight="1">
      <c r="A187" s="87" t="s">
        <v>44</v>
      </c>
      <c r="B187" s="20" t="s">
        <v>145</v>
      </c>
      <c r="C187" s="20" t="s">
        <v>232</v>
      </c>
      <c r="D187" s="20" t="s">
        <v>175</v>
      </c>
      <c r="E187" s="20" t="s">
        <v>45</v>
      </c>
      <c r="F187" s="20" t="s">
        <v>369</v>
      </c>
      <c r="G187" s="214"/>
      <c r="H187" s="214">
        <v>0</v>
      </c>
      <c r="I187" s="215"/>
      <c r="J187" s="214"/>
      <c r="K187" s="192"/>
    </row>
    <row r="188" spans="1:11" s="21" customFormat="1" ht="14.25" customHeight="1">
      <c r="A188" s="6" t="s">
        <v>355</v>
      </c>
      <c r="B188" s="20"/>
      <c r="C188" s="20"/>
      <c r="D188" s="20"/>
      <c r="E188" s="20"/>
      <c r="F188" s="20"/>
      <c r="G188" s="214"/>
      <c r="H188" s="214">
        <v>0</v>
      </c>
      <c r="I188" s="215"/>
      <c r="J188" s="214"/>
      <c r="K188" s="192"/>
    </row>
    <row r="189" spans="1:11" s="21" customFormat="1" ht="14.25" customHeight="1">
      <c r="A189" s="43" t="s">
        <v>47</v>
      </c>
      <c r="B189" s="14" t="s">
        <v>145</v>
      </c>
      <c r="C189" s="14" t="s">
        <v>232</v>
      </c>
      <c r="D189" s="14" t="s">
        <v>175</v>
      </c>
      <c r="E189" s="14" t="s">
        <v>48</v>
      </c>
      <c r="F189" s="20"/>
      <c r="G189" s="211">
        <f>G190</f>
        <v>172000</v>
      </c>
      <c r="H189" s="211">
        <f>H190</f>
        <v>86000</v>
      </c>
      <c r="I189" s="211">
        <f>I190</f>
        <v>40207.32</v>
      </c>
      <c r="J189" s="211">
        <f>J190</f>
        <v>40502.32</v>
      </c>
      <c r="K189" s="192">
        <f t="shared" si="3"/>
        <v>100.73369724716792</v>
      </c>
    </row>
    <row r="190" spans="1:11" s="21" customFormat="1" ht="24.75" customHeight="1">
      <c r="A190" s="12" t="s">
        <v>354</v>
      </c>
      <c r="B190" s="20"/>
      <c r="C190" s="20"/>
      <c r="D190" s="20"/>
      <c r="E190" s="20"/>
      <c r="F190" s="153" t="s">
        <v>369</v>
      </c>
      <c r="G190" s="214">
        <v>172000</v>
      </c>
      <c r="H190" s="214">
        <v>86000</v>
      </c>
      <c r="I190" s="215">
        <v>40207.32</v>
      </c>
      <c r="J190" s="214">
        <v>40502.32</v>
      </c>
      <c r="K190" s="192">
        <f t="shared" si="3"/>
        <v>100.73369724716792</v>
      </c>
    </row>
    <row r="191" spans="1:11" s="21" customFormat="1" ht="15.75" customHeight="1">
      <c r="A191" s="43" t="s">
        <v>49</v>
      </c>
      <c r="B191" s="14" t="s">
        <v>145</v>
      </c>
      <c r="C191" s="14" t="s">
        <v>232</v>
      </c>
      <c r="D191" s="14" t="s">
        <v>175</v>
      </c>
      <c r="E191" s="14" t="s">
        <v>50</v>
      </c>
      <c r="F191" s="20"/>
      <c r="G191" s="211">
        <f>G192+G196</f>
        <v>364500</v>
      </c>
      <c r="H191" s="211">
        <f>H192+H196</f>
        <v>182250</v>
      </c>
      <c r="I191" s="211">
        <f>I192+I196</f>
        <v>68084</v>
      </c>
      <c r="J191" s="211">
        <f>J192+J196</f>
        <v>17712</v>
      </c>
      <c r="K191" s="192">
        <f t="shared" si="3"/>
        <v>26.014922742494566</v>
      </c>
    </row>
    <row r="192" spans="1:11" s="21" customFormat="1" ht="17.25" customHeight="1">
      <c r="A192" s="87" t="s">
        <v>51</v>
      </c>
      <c r="B192" s="20" t="s">
        <v>145</v>
      </c>
      <c r="C192" s="20" t="s">
        <v>232</v>
      </c>
      <c r="D192" s="20" t="s">
        <v>175</v>
      </c>
      <c r="E192" s="20" t="s">
        <v>52</v>
      </c>
      <c r="F192" s="20"/>
      <c r="G192" s="214">
        <f>G195</f>
        <v>214500</v>
      </c>
      <c r="H192" s="214">
        <f>H195</f>
        <v>107250</v>
      </c>
      <c r="I192" s="214">
        <f>I195</f>
        <v>1537</v>
      </c>
      <c r="J192" s="214">
        <f>J195</f>
        <v>1537</v>
      </c>
      <c r="K192" s="192">
        <f t="shared" si="3"/>
        <v>100</v>
      </c>
    </row>
    <row r="193" spans="1:11" s="21" customFormat="1" ht="13.5" customHeight="1">
      <c r="A193" s="7" t="s">
        <v>356</v>
      </c>
      <c r="B193" s="20"/>
      <c r="C193" s="20"/>
      <c r="D193" s="20"/>
      <c r="E193" s="20"/>
      <c r="F193" s="20"/>
      <c r="G193" s="214"/>
      <c r="H193" s="214"/>
      <c r="I193" s="215"/>
      <c r="J193" s="214"/>
      <c r="K193" s="192"/>
    </row>
    <row r="194" spans="1:11" s="21" customFormat="1" ht="27" customHeight="1">
      <c r="A194" s="7" t="s">
        <v>54</v>
      </c>
      <c r="B194" s="20"/>
      <c r="C194" s="20"/>
      <c r="D194" s="20"/>
      <c r="E194" s="20"/>
      <c r="F194" s="20" t="s">
        <v>384</v>
      </c>
      <c r="G194" s="214"/>
      <c r="H194" s="214">
        <v>0</v>
      </c>
      <c r="I194" s="215"/>
      <c r="J194" s="214"/>
      <c r="K194" s="192"/>
    </row>
    <row r="195" spans="1:12" s="21" customFormat="1" ht="24.75" customHeight="1">
      <c r="A195" s="7" t="s">
        <v>55</v>
      </c>
      <c r="B195" s="20"/>
      <c r="C195" s="20"/>
      <c r="D195" s="20"/>
      <c r="E195" s="20"/>
      <c r="F195" s="20" t="s">
        <v>385</v>
      </c>
      <c r="G195" s="214">
        <v>214500</v>
      </c>
      <c r="H195" s="214">
        <v>107250</v>
      </c>
      <c r="I195" s="215">
        <f>1537</f>
        <v>1537</v>
      </c>
      <c r="J195" s="214">
        <f>1537</f>
        <v>1537</v>
      </c>
      <c r="K195" s="192">
        <f t="shared" si="3"/>
        <v>100</v>
      </c>
      <c r="L195" s="21" t="s">
        <v>450</v>
      </c>
    </row>
    <row r="196" spans="1:11" s="21" customFormat="1" ht="15.75" customHeight="1">
      <c r="A196" s="87" t="s">
        <v>56</v>
      </c>
      <c r="B196" s="20" t="s">
        <v>145</v>
      </c>
      <c r="C196" s="20" t="s">
        <v>232</v>
      </c>
      <c r="D196" s="20" t="s">
        <v>175</v>
      </c>
      <c r="E196" s="20" t="s">
        <v>57</v>
      </c>
      <c r="F196" s="20"/>
      <c r="G196" s="214">
        <f>G197+G198+G200</f>
        <v>150000</v>
      </c>
      <c r="H196" s="214">
        <f>37500+37500</f>
        <v>75000</v>
      </c>
      <c r="I196" s="215">
        <f>I197+I198+I200</f>
        <v>66547</v>
      </c>
      <c r="J196" s="215">
        <f>J197+J198+J200</f>
        <v>16175</v>
      </c>
      <c r="K196" s="192">
        <f t="shared" si="3"/>
        <v>24.30612950245691</v>
      </c>
    </row>
    <row r="197" spans="1:11" s="21" customFormat="1" ht="24.75" customHeight="1">
      <c r="A197" s="7" t="s">
        <v>357</v>
      </c>
      <c r="B197" s="20"/>
      <c r="C197" s="20"/>
      <c r="D197" s="20"/>
      <c r="E197" s="20"/>
      <c r="F197" s="20" t="s">
        <v>386</v>
      </c>
      <c r="G197" s="214"/>
      <c r="H197" s="214">
        <v>0</v>
      </c>
      <c r="I197" s="215"/>
      <c r="J197" s="214"/>
      <c r="K197" s="192"/>
    </row>
    <row r="198" spans="1:11" s="21" customFormat="1" ht="12.75" customHeight="1">
      <c r="A198" s="7" t="s">
        <v>358</v>
      </c>
      <c r="B198" s="20"/>
      <c r="C198" s="20"/>
      <c r="D198" s="20"/>
      <c r="E198" s="20"/>
      <c r="F198" s="20" t="s">
        <v>387</v>
      </c>
      <c r="G198" s="214"/>
      <c r="H198" s="214">
        <v>0</v>
      </c>
      <c r="I198" s="215"/>
      <c r="J198" s="214"/>
      <c r="K198" s="192"/>
    </row>
    <row r="199" spans="1:11" s="21" customFormat="1" ht="14.25" customHeight="1">
      <c r="A199" s="7" t="s">
        <v>359</v>
      </c>
      <c r="B199" s="20"/>
      <c r="C199" s="20"/>
      <c r="D199" s="20"/>
      <c r="E199" s="20"/>
      <c r="F199" s="20" t="s">
        <v>388</v>
      </c>
      <c r="G199" s="214"/>
      <c r="H199" s="214">
        <v>0</v>
      </c>
      <c r="I199" s="215"/>
      <c r="J199" s="214"/>
      <c r="K199" s="192"/>
    </row>
    <row r="200" spans="1:11" s="21" customFormat="1" ht="24" customHeight="1">
      <c r="A200" s="7" t="s">
        <v>61</v>
      </c>
      <c r="B200" s="20"/>
      <c r="C200" s="20"/>
      <c r="D200" s="20"/>
      <c r="E200" s="20"/>
      <c r="F200" s="20" t="s">
        <v>389</v>
      </c>
      <c r="G200" s="214">
        <v>150000</v>
      </c>
      <c r="H200" s="214">
        <v>75000</v>
      </c>
      <c r="I200" s="215">
        <v>66547</v>
      </c>
      <c r="J200" s="214">
        <v>16175</v>
      </c>
      <c r="K200" s="192">
        <f t="shared" si="3"/>
        <v>24.30612950245691</v>
      </c>
    </row>
    <row r="201" spans="1:11" s="32" customFormat="1" ht="15" customHeight="1">
      <c r="A201" s="111" t="s">
        <v>86</v>
      </c>
      <c r="B201" s="48" t="s">
        <v>146</v>
      </c>
      <c r="C201" s="48" t="s">
        <v>82</v>
      </c>
      <c r="D201" s="48" t="s">
        <v>2</v>
      </c>
      <c r="E201" s="48" t="s">
        <v>2</v>
      </c>
      <c r="F201" s="48"/>
      <c r="G201" s="217">
        <f>G258+G202</f>
        <v>24249136.9</v>
      </c>
      <c r="H201" s="217">
        <f>H258+H202</f>
        <v>14098852</v>
      </c>
      <c r="I201" s="217">
        <f>I258+I202</f>
        <v>10728565.520000001</v>
      </c>
      <c r="J201" s="217">
        <f>J258+J202</f>
        <v>11931348.43</v>
      </c>
      <c r="K201" s="192">
        <f t="shared" si="3"/>
        <v>111.21103196655501</v>
      </c>
    </row>
    <row r="202" spans="1:11" s="86" customFormat="1" ht="12.75" customHeight="1">
      <c r="A202" s="47" t="s">
        <v>174</v>
      </c>
      <c r="B202" s="121" t="s">
        <v>146</v>
      </c>
      <c r="C202" s="121" t="s">
        <v>82</v>
      </c>
      <c r="D202" s="121" t="s">
        <v>175</v>
      </c>
      <c r="E202" s="121" t="s">
        <v>2</v>
      </c>
      <c r="F202" s="121"/>
      <c r="G202" s="217">
        <f>G203+G210+G246+G248+G243</f>
        <v>23350480.9</v>
      </c>
      <c r="H202" s="217">
        <f>H203+H210+H246+H248+H243</f>
        <v>13647274</v>
      </c>
      <c r="I202" s="217">
        <f>I203+I210+I246+I248+I243</f>
        <v>10332742.770000001</v>
      </c>
      <c r="J202" s="217">
        <f>J203+J210+J246+J248+J243</f>
        <v>11482295.58</v>
      </c>
      <c r="K202" s="192">
        <f t="shared" si="3"/>
        <v>111.12534044046465</v>
      </c>
    </row>
    <row r="203" spans="1:11" s="45" customFormat="1" ht="13.5" customHeight="1">
      <c r="A203" s="43" t="s">
        <v>4</v>
      </c>
      <c r="B203" s="44" t="s">
        <v>146</v>
      </c>
      <c r="C203" s="44" t="s">
        <v>82</v>
      </c>
      <c r="D203" s="44" t="s">
        <v>175</v>
      </c>
      <c r="E203" s="44" t="s">
        <v>5</v>
      </c>
      <c r="F203" s="44"/>
      <c r="G203" s="197">
        <f>SUM(G209,G204)+G205</f>
        <v>11184144.8</v>
      </c>
      <c r="H203" s="197">
        <f>SUM(H209,H204)+H205</f>
        <v>6017357.9</v>
      </c>
      <c r="I203" s="197">
        <f>SUM(I209,I204)+I205</f>
        <v>5099789.29</v>
      </c>
      <c r="J203" s="197">
        <f>SUM(J209,J204)+J205</f>
        <v>5127547.859999999</v>
      </c>
      <c r="K203" s="192">
        <f aca="true" t="shared" si="4" ref="K203:K266">J203*100/I203</f>
        <v>100.54430817474028</v>
      </c>
    </row>
    <row r="204" spans="1:11" s="28" customFormat="1" ht="12.75">
      <c r="A204" s="87" t="s">
        <v>6</v>
      </c>
      <c r="B204" s="27" t="s">
        <v>146</v>
      </c>
      <c r="C204" s="27" t="s">
        <v>82</v>
      </c>
      <c r="D204" s="27" t="s">
        <v>175</v>
      </c>
      <c r="E204" s="27" t="s">
        <v>7</v>
      </c>
      <c r="F204" s="27" t="s">
        <v>369</v>
      </c>
      <c r="G204" s="201">
        <v>8194316</v>
      </c>
      <c r="H204" s="201">
        <f>1914950+2384500</f>
        <v>4299450</v>
      </c>
      <c r="I204" s="202">
        <v>3795478.29</v>
      </c>
      <c r="J204" s="272">
        <f>425334.76+168942.12+772278.36+118405.96+716174.47+126849.58+471951.67+76857.03+425930.7+92644.58+541962.88+72645.42</f>
        <v>4009977.53</v>
      </c>
      <c r="K204" s="192">
        <f t="shared" si="4"/>
        <v>105.65144162634638</v>
      </c>
    </row>
    <row r="205" spans="1:11" s="28" customFormat="1" ht="12.75">
      <c r="A205" s="87" t="s">
        <v>8</v>
      </c>
      <c r="B205" s="27" t="s">
        <v>146</v>
      </c>
      <c r="C205" s="27" t="s">
        <v>82</v>
      </c>
      <c r="D205" s="27" t="s">
        <v>175</v>
      </c>
      <c r="E205" s="27" t="s">
        <v>9</v>
      </c>
      <c r="F205" s="27"/>
      <c r="G205" s="201">
        <f>SUM(G206:G208)</f>
        <v>842930</v>
      </c>
      <c r="H205" s="201">
        <f>SUM(H206:H208)</f>
        <v>591464</v>
      </c>
      <c r="I205" s="201">
        <f>SUM(I206:I208)</f>
        <v>429280</v>
      </c>
      <c r="J205" s="271">
        <v>108605.6</v>
      </c>
      <c r="K205" s="192">
        <f t="shared" si="4"/>
        <v>25.299478196049197</v>
      </c>
    </row>
    <row r="206" spans="1:11" ht="12.75">
      <c r="A206" s="11" t="s">
        <v>360</v>
      </c>
      <c r="B206" s="4"/>
      <c r="C206" s="4"/>
      <c r="D206" s="4"/>
      <c r="E206" s="4"/>
      <c r="F206" s="4" t="s">
        <v>371</v>
      </c>
      <c r="G206" s="200">
        <v>72930</v>
      </c>
      <c r="H206" s="200">
        <f>18231+18233</f>
        <v>36464</v>
      </c>
      <c r="I206" s="199">
        <v>36380</v>
      </c>
      <c r="J206" s="214"/>
      <c r="K206" s="192">
        <f t="shared" si="4"/>
        <v>0</v>
      </c>
    </row>
    <row r="207" spans="1:11" ht="12.75" customHeight="1">
      <c r="A207" s="12" t="s">
        <v>343</v>
      </c>
      <c r="B207" s="4"/>
      <c r="C207" s="4"/>
      <c r="D207" s="4"/>
      <c r="E207" s="4"/>
      <c r="F207" s="4" t="s">
        <v>390</v>
      </c>
      <c r="G207" s="200"/>
      <c r="H207" s="200">
        <v>0</v>
      </c>
      <c r="I207" s="199"/>
      <c r="J207" s="214"/>
      <c r="K207" s="192"/>
    </row>
    <row r="208" spans="1:11" ht="12.75" customHeight="1">
      <c r="A208" s="6" t="s">
        <v>361</v>
      </c>
      <c r="B208" s="4"/>
      <c r="C208" s="4"/>
      <c r="D208" s="4"/>
      <c r="E208" s="4"/>
      <c r="F208" s="4" t="s">
        <v>370</v>
      </c>
      <c r="G208" s="200">
        <v>770000</v>
      </c>
      <c r="H208" s="200">
        <f>55000+500000</f>
        <v>555000</v>
      </c>
      <c r="I208" s="199">
        <v>392900</v>
      </c>
      <c r="J208" s="214"/>
      <c r="K208" s="192">
        <f t="shared" si="4"/>
        <v>0</v>
      </c>
    </row>
    <row r="209" spans="1:11" s="28" customFormat="1" ht="12.75">
      <c r="A209" s="87" t="s">
        <v>13</v>
      </c>
      <c r="B209" s="27" t="s">
        <v>146</v>
      </c>
      <c r="C209" s="27" t="s">
        <v>82</v>
      </c>
      <c r="D209" s="27" t="s">
        <v>175</v>
      </c>
      <c r="E209" s="27" t="s">
        <v>14</v>
      </c>
      <c r="F209" s="27" t="s">
        <v>369</v>
      </c>
      <c r="G209" s="201">
        <v>2146898.8</v>
      </c>
      <c r="H209" s="201">
        <f>501716.9+624727</f>
        <v>1126443.9</v>
      </c>
      <c r="I209" s="201">
        <v>875031</v>
      </c>
      <c r="J209" s="272">
        <f>102093.04+42572.87+189508.92+31022.36+182064.91+31218.84+121021.1+20136.54+106463.84+23969.33+140789.07+18103.91</f>
        <v>1008964.7299999999</v>
      </c>
      <c r="K209" s="192">
        <f t="shared" si="4"/>
        <v>115.3061697242726</v>
      </c>
    </row>
    <row r="210" spans="1:11" s="45" customFormat="1" ht="12.75">
      <c r="A210" s="43" t="s">
        <v>15</v>
      </c>
      <c r="B210" s="44" t="s">
        <v>146</v>
      </c>
      <c r="C210" s="44" t="s">
        <v>82</v>
      </c>
      <c r="D210" s="44" t="s">
        <v>175</v>
      </c>
      <c r="E210" s="44" t="s">
        <v>16</v>
      </c>
      <c r="F210" s="44"/>
      <c r="G210" s="197">
        <f>SUM(G211,G212,G215,G220,G226)</f>
        <v>9188336.1</v>
      </c>
      <c r="H210" s="197">
        <f>SUM(H211,H212,H215,H220,H226)</f>
        <v>5300916.1</v>
      </c>
      <c r="I210" s="197">
        <f>SUM(I211,I212,I215,I220,I226)</f>
        <v>3952581.0999999996</v>
      </c>
      <c r="J210" s="197">
        <f>SUM(J211,J212,J215,J220,J226)</f>
        <v>4707893.12</v>
      </c>
      <c r="K210" s="192">
        <f t="shared" si="4"/>
        <v>119.10933642828986</v>
      </c>
    </row>
    <row r="211" spans="1:11" s="28" customFormat="1" ht="12.75">
      <c r="A211" s="87" t="s">
        <v>341</v>
      </c>
      <c r="B211" s="27" t="s">
        <v>146</v>
      </c>
      <c r="C211" s="27" t="s">
        <v>82</v>
      </c>
      <c r="D211" s="27" t="s">
        <v>175</v>
      </c>
      <c r="E211" s="27" t="s">
        <v>18</v>
      </c>
      <c r="F211" s="27" t="s">
        <v>369</v>
      </c>
      <c r="G211" s="201">
        <v>732612</v>
      </c>
      <c r="H211" s="201">
        <f>183153+183153</f>
        <v>366306</v>
      </c>
      <c r="I211" s="202">
        <v>248321.58</v>
      </c>
      <c r="J211" s="214">
        <f>237596.41+4173.09+4173.09+4173.09+4173.09</f>
        <v>254288.77</v>
      </c>
      <c r="K211" s="192">
        <f t="shared" si="4"/>
        <v>102.4030090336893</v>
      </c>
    </row>
    <row r="212" spans="1:11" s="28" customFormat="1" ht="12.75">
      <c r="A212" s="87" t="s">
        <v>21</v>
      </c>
      <c r="B212" s="27" t="s">
        <v>146</v>
      </c>
      <c r="C212" s="27" t="s">
        <v>82</v>
      </c>
      <c r="D212" s="27" t="s">
        <v>175</v>
      </c>
      <c r="E212" s="27" t="s">
        <v>19</v>
      </c>
      <c r="F212" s="27"/>
      <c r="G212" s="219">
        <f>SUM(G213:G214)</f>
        <v>997789</v>
      </c>
      <c r="H212" s="219">
        <f>SUM(H213:H214)</f>
        <v>721900</v>
      </c>
      <c r="I212" s="219">
        <f>SUM(I213:I214)</f>
        <v>592505.97</v>
      </c>
      <c r="J212" s="219">
        <v>526309.97</v>
      </c>
      <c r="K212" s="192">
        <f t="shared" si="4"/>
        <v>88.8277918954977</v>
      </c>
    </row>
    <row r="213" spans="1:11" ht="25.5">
      <c r="A213" s="11" t="s">
        <v>344</v>
      </c>
      <c r="B213" s="4"/>
      <c r="C213" s="4"/>
      <c r="D213" s="4"/>
      <c r="E213" s="4"/>
      <c r="F213" s="4" t="s">
        <v>372</v>
      </c>
      <c r="G213" s="200">
        <v>487789</v>
      </c>
      <c r="H213" s="200">
        <f>120950+220950</f>
        <v>341900</v>
      </c>
      <c r="I213" s="199">
        <v>265237.7</v>
      </c>
      <c r="J213" s="214"/>
      <c r="K213" s="192">
        <f t="shared" si="4"/>
        <v>0</v>
      </c>
    </row>
    <row r="214" spans="1:11" ht="38.25">
      <c r="A214" s="8" t="s">
        <v>362</v>
      </c>
      <c r="B214" s="4"/>
      <c r="C214" s="4"/>
      <c r="D214" s="4"/>
      <c r="E214" s="4"/>
      <c r="F214" s="4" t="s">
        <v>374</v>
      </c>
      <c r="G214" s="200">
        <v>510000</v>
      </c>
      <c r="H214" s="200">
        <v>380000</v>
      </c>
      <c r="I214" s="199">
        <v>327268.27</v>
      </c>
      <c r="J214" s="214">
        <f>12310+12310</f>
        <v>24620</v>
      </c>
      <c r="K214" s="192">
        <f t="shared" si="4"/>
        <v>7.522880235227203</v>
      </c>
    </row>
    <row r="215" spans="1:11" s="28" customFormat="1" ht="12.75">
      <c r="A215" s="87" t="s">
        <v>23</v>
      </c>
      <c r="B215" s="27" t="s">
        <v>146</v>
      </c>
      <c r="C215" s="27" t="s">
        <v>82</v>
      </c>
      <c r="D215" s="27" t="s">
        <v>175</v>
      </c>
      <c r="E215" s="27" t="s">
        <v>24</v>
      </c>
      <c r="F215" s="27"/>
      <c r="G215" s="219">
        <f>SUM(G216:G218)</f>
        <v>3949200.1</v>
      </c>
      <c r="H215" s="219">
        <f>SUM(H216:H218)</f>
        <v>2262080.1</v>
      </c>
      <c r="I215" s="219">
        <f>SUM(I216:I218)</f>
        <v>1348884.88</v>
      </c>
      <c r="J215" s="219">
        <v>1725015.49</v>
      </c>
      <c r="K215" s="192">
        <f t="shared" si="4"/>
        <v>127.88455972610502</v>
      </c>
    </row>
    <row r="216" spans="1:11" ht="12.75" customHeight="1">
      <c r="A216" s="7" t="s">
        <v>345</v>
      </c>
      <c r="B216" s="4"/>
      <c r="C216" s="4"/>
      <c r="D216" s="4"/>
      <c r="E216" s="4"/>
      <c r="F216" s="4" t="s">
        <v>373</v>
      </c>
      <c r="G216" s="200">
        <v>3734160</v>
      </c>
      <c r="H216" s="200">
        <v>2151250</v>
      </c>
      <c r="I216" s="199">
        <v>1333229.73</v>
      </c>
      <c r="J216" s="214">
        <v>1705475.12</v>
      </c>
      <c r="K216" s="192">
        <f t="shared" si="4"/>
        <v>127.92057374838168</v>
      </c>
    </row>
    <row r="217" spans="1:11" ht="12.75" customHeight="1">
      <c r="A217" s="7" t="s">
        <v>346</v>
      </c>
      <c r="B217" s="4"/>
      <c r="C217" s="4"/>
      <c r="D217" s="4"/>
      <c r="E217" s="4"/>
      <c r="F217" s="4" t="s">
        <v>375</v>
      </c>
      <c r="G217" s="200">
        <v>156610</v>
      </c>
      <c r="H217" s="200">
        <v>81700</v>
      </c>
      <c r="I217" s="199"/>
      <c r="J217" s="214"/>
      <c r="K217" s="192"/>
    </row>
    <row r="218" spans="1:11" ht="12.75">
      <c r="A218" s="7" t="s">
        <v>347</v>
      </c>
      <c r="B218" s="4"/>
      <c r="C218" s="4"/>
      <c r="D218" s="4"/>
      <c r="E218" s="4"/>
      <c r="F218" s="4" t="s">
        <v>376</v>
      </c>
      <c r="G218" s="200">
        <v>58430.1</v>
      </c>
      <c r="H218" s="200">
        <v>29130.1</v>
      </c>
      <c r="I218" s="199">
        <v>15655.15</v>
      </c>
      <c r="J218" s="214">
        <v>19540.37</v>
      </c>
      <c r="K218" s="192">
        <f t="shared" si="4"/>
        <v>124.81752011318959</v>
      </c>
    </row>
    <row r="219" spans="1:11" s="28" customFormat="1" ht="15" customHeight="1">
      <c r="A219" s="87" t="s">
        <v>28</v>
      </c>
      <c r="B219" s="27" t="s">
        <v>146</v>
      </c>
      <c r="C219" s="27" t="s">
        <v>82</v>
      </c>
      <c r="D219" s="27" t="s">
        <v>175</v>
      </c>
      <c r="E219" s="27" t="s">
        <v>29</v>
      </c>
      <c r="F219" s="27"/>
      <c r="G219" s="201"/>
      <c r="H219" s="201">
        <v>0</v>
      </c>
      <c r="I219" s="202"/>
      <c r="J219" s="200"/>
      <c r="K219" s="192"/>
    </row>
    <row r="220" spans="1:11" s="28" customFormat="1" ht="12.75">
      <c r="A220" s="87" t="s">
        <v>30</v>
      </c>
      <c r="B220" s="27" t="s">
        <v>146</v>
      </c>
      <c r="C220" s="27" t="s">
        <v>82</v>
      </c>
      <c r="D220" s="27" t="s">
        <v>175</v>
      </c>
      <c r="E220" s="27" t="s">
        <v>31</v>
      </c>
      <c r="F220" s="27"/>
      <c r="G220" s="211">
        <f>SUM(G221:G225)</f>
        <v>1166522</v>
      </c>
      <c r="H220" s="211">
        <f>SUM(H221:H225)</f>
        <v>638260</v>
      </c>
      <c r="I220" s="211">
        <f>SUM(I221:I225)-1903.9</f>
        <v>485282.02</v>
      </c>
      <c r="J220" s="211">
        <f>312049.81+7078.25+J223+J224+J221-108537.09-9179.1</f>
        <v>426152.81000000006</v>
      </c>
      <c r="K220" s="192">
        <f t="shared" si="4"/>
        <v>87.81549541027711</v>
      </c>
    </row>
    <row r="221" spans="1:11" s="18" customFormat="1" ht="12.75">
      <c r="A221" s="7" t="s">
        <v>348</v>
      </c>
      <c r="B221" s="17"/>
      <c r="C221" s="17"/>
      <c r="D221" s="17"/>
      <c r="E221" s="17"/>
      <c r="F221" s="17" t="s">
        <v>377</v>
      </c>
      <c r="G221" s="186">
        <v>385802</v>
      </c>
      <c r="H221" s="186">
        <v>192900</v>
      </c>
      <c r="I221" s="213">
        <v>172959.42</v>
      </c>
      <c r="J221" s="214">
        <f>4083.36+108537.09+9179.1+9396.51</f>
        <v>131196.06</v>
      </c>
      <c r="K221" s="192">
        <f t="shared" si="4"/>
        <v>75.85366555923926</v>
      </c>
    </row>
    <row r="222" spans="1:11" s="18" customFormat="1" ht="12.75">
      <c r="A222" s="7" t="s">
        <v>349</v>
      </c>
      <c r="B222" s="17"/>
      <c r="C222" s="17"/>
      <c r="D222" s="17"/>
      <c r="E222" s="17"/>
      <c r="F222" s="17" t="s">
        <v>376</v>
      </c>
      <c r="G222" s="186"/>
      <c r="H222" s="186">
        <v>0</v>
      </c>
      <c r="I222" s="213"/>
      <c r="J222" s="214"/>
      <c r="K222" s="192"/>
    </row>
    <row r="223" spans="1:11" s="18" customFormat="1" ht="25.5">
      <c r="A223" s="7" t="s">
        <v>350</v>
      </c>
      <c r="B223" s="17"/>
      <c r="C223" s="17"/>
      <c r="D223" s="17"/>
      <c r="E223" s="17"/>
      <c r="F223" s="17" t="s">
        <v>379</v>
      </c>
      <c r="G223" s="186">
        <v>90720</v>
      </c>
      <c r="H223" s="186">
        <f>22680+22680</f>
        <v>45360</v>
      </c>
      <c r="I223" s="213">
        <v>48900.98</v>
      </c>
      <c r="J223" s="214">
        <f>21973.35+9904.82</f>
        <v>31878.17</v>
      </c>
      <c r="K223" s="192">
        <f t="shared" si="4"/>
        <v>65.18922524661059</v>
      </c>
    </row>
    <row r="224" spans="1:11" s="18" customFormat="1" ht="12.75">
      <c r="A224" s="7" t="s">
        <v>351</v>
      </c>
      <c r="B224" s="17"/>
      <c r="C224" s="17"/>
      <c r="D224" s="17"/>
      <c r="E224" s="17"/>
      <c r="F224" s="17" t="s">
        <v>380</v>
      </c>
      <c r="G224" s="186">
        <v>690000</v>
      </c>
      <c r="H224" s="186">
        <f>300000+100000</f>
        <v>400000</v>
      </c>
      <c r="I224" s="213">
        <f>12006+278.3+1518+3082+460+506+3289+4042.97+3502</f>
        <v>28684.27</v>
      </c>
      <c r="J224" s="214">
        <f>4954.78+12777.78+21993.95+21940.2</f>
        <v>61666.71000000001</v>
      </c>
      <c r="K224" s="192">
        <f t="shared" si="4"/>
        <v>214.98441480295648</v>
      </c>
    </row>
    <row r="225" spans="1:11" s="18" customFormat="1" ht="37.5" customHeight="1">
      <c r="A225" s="7" t="s">
        <v>363</v>
      </c>
      <c r="B225" s="17"/>
      <c r="C225" s="17"/>
      <c r="D225" s="17"/>
      <c r="E225" s="17"/>
      <c r="F225" s="17"/>
      <c r="G225" s="186">
        <v>0</v>
      </c>
      <c r="H225" s="186">
        <v>0</v>
      </c>
      <c r="I225" s="213">
        <f>265325.52-28684.27</f>
        <v>236641.25000000003</v>
      </c>
      <c r="J225" s="214"/>
      <c r="K225" s="192">
        <f t="shared" si="4"/>
        <v>0</v>
      </c>
    </row>
    <row r="226" spans="1:11" s="28" customFormat="1" ht="12.75">
      <c r="A226" s="87" t="s">
        <v>37</v>
      </c>
      <c r="B226" s="27" t="s">
        <v>146</v>
      </c>
      <c r="C226" s="27" t="s">
        <v>82</v>
      </c>
      <c r="D226" s="27" t="s">
        <v>175</v>
      </c>
      <c r="E226" s="27" t="s">
        <v>38</v>
      </c>
      <c r="F226" s="27"/>
      <c r="G226" s="219">
        <f>SUM(G227:G229)</f>
        <v>2342213</v>
      </c>
      <c r="H226" s="219">
        <f>SUM(H227:H229)</f>
        <v>1312370</v>
      </c>
      <c r="I226" s="219">
        <f>SUM(I227:I229)</f>
        <v>1277586.65</v>
      </c>
      <c r="J226" s="219">
        <f>865272.54+J229</f>
        <v>1776126.08</v>
      </c>
      <c r="K226" s="192">
        <f t="shared" si="4"/>
        <v>139.02196614217908</v>
      </c>
    </row>
    <row r="227" spans="1:11" s="21" customFormat="1" ht="38.25">
      <c r="A227" s="11" t="s">
        <v>352</v>
      </c>
      <c r="B227" s="20"/>
      <c r="C227" s="20"/>
      <c r="D227" s="20"/>
      <c r="E227" s="20"/>
      <c r="F227" s="153" t="s">
        <v>381</v>
      </c>
      <c r="G227" s="214">
        <v>401550</v>
      </c>
      <c r="H227" s="214">
        <f>100380+100380</f>
        <v>200760</v>
      </c>
      <c r="I227" s="215">
        <v>191039.93</v>
      </c>
      <c r="J227" s="214"/>
      <c r="K227" s="192">
        <f t="shared" si="4"/>
        <v>0</v>
      </c>
    </row>
    <row r="228" spans="1:11" s="21" customFormat="1" ht="38.25">
      <c r="A228" s="19" t="s">
        <v>353</v>
      </c>
      <c r="B228" s="20"/>
      <c r="C228" s="20"/>
      <c r="D228" s="20"/>
      <c r="E228" s="20"/>
      <c r="F228" s="20" t="s">
        <v>391</v>
      </c>
      <c r="G228" s="186">
        <v>5600</v>
      </c>
      <c r="H228" s="186">
        <v>5600</v>
      </c>
      <c r="I228" s="213">
        <v>0</v>
      </c>
      <c r="J228" s="214"/>
      <c r="K228" s="192"/>
    </row>
    <row r="229" spans="1:11" s="21" customFormat="1" ht="25.5" customHeight="1">
      <c r="A229" s="12" t="s">
        <v>364</v>
      </c>
      <c r="B229" s="20"/>
      <c r="C229" s="20"/>
      <c r="D229" s="20"/>
      <c r="E229" s="20"/>
      <c r="F229" s="20" t="s">
        <v>382</v>
      </c>
      <c r="G229" s="214">
        <f>G230+G231+G232+G233+G234+G235+G236+G237+G238+G239+G240+G241+G242</f>
        <v>1935063</v>
      </c>
      <c r="H229" s="214">
        <f>H230+H231+H232+H233+H234+H235+H236+H237+H238+H239+H240+H241+H242</f>
        <v>1106010</v>
      </c>
      <c r="I229" s="214">
        <f>I230+I231+I232+I233+I234+I235+I236+I237+I238+I239+I240+I241+I242</f>
        <v>1086546.72</v>
      </c>
      <c r="J229" s="214">
        <f>J230+J231+J232+J233+J234+J235+J236+J237+J238+J239+J240+J241+J242</f>
        <v>910853.54</v>
      </c>
      <c r="K229" s="192">
        <f t="shared" si="4"/>
        <v>83.83013111484061</v>
      </c>
    </row>
    <row r="230" spans="1:11" s="21" customFormat="1" ht="12.75" customHeight="1">
      <c r="A230" s="168" t="s">
        <v>318</v>
      </c>
      <c r="B230" s="20"/>
      <c r="C230" s="20"/>
      <c r="D230" s="20"/>
      <c r="E230" s="20"/>
      <c r="F230" s="20"/>
      <c r="G230" s="186">
        <v>108313</v>
      </c>
      <c r="H230" s="186">
        <f>53850</f>
        <v>53850</v>
      </c>
      <c r="I230" s="213">
        <v>62706.92</v>
      </c>
      <c r="J230" s="214"/>
      <c r="K230" s="192">
        <f t="shared" si="4"/>
        <v>0</v>
      </c>
    </row>
    <row r="231" spans="1:11" s="21" customFormat="1" ht="18" customHeight="1">
      <c r="A231" s="168" t="s">
        <v>319</v>
      </c>
      <c r="B231" s="20"/>
      <c r="C231" s="20"/>
      <c r="D231" s="20"/>
      <c r="E231" s="20"/>
      <c r="F231" s="20"/>
      <c r="G231" s="186">
        <v>177100</v>
      </c>
      <c r="H231" s="186">
        <f>44275+44275</f>
        <v>88550</v>
      </c>
      <c r="I231" s="213">
        <f>30558.84</f>
        <v>30558.84</v>
      </c>
      <c r="J231" s="214"/>
      <c r="K231" s="192">
        <f t="shared" si="4"/>
        <v>0</v>
      </c>
    </row>
    <row r="232" spans="1:11" s="21" customFormat="1" ht="12.75" customHeight="1">
      <c r="A232" s="168" t="s">
        <v>320</v>
      </c>
      <c r="B232" s="20"/>
      <c r="C232" s="20"/>
      <c r="D232" s="20"/>
      <c r="E232" s="20"/>
      <c r="F232" s="20"/>
      <c r="G232" s="186">
        <v>15960</v>
      </c>
      <c r="H232" s="186">
        <f>3990+3990</f>
        <v>7980</v>
      </c>
      <c r="I232" s="213"/>
      <c r="J232" s="214"/>
      <c r="K232" s="192"/>
    </row>
    <row r="233" spans="1:11" s="21" customFormat="1" ht="12.75" customHeight="1">
      <c r="A233" s="168" t="s">
        <v>321</v>
      </c>
      <c r="B233" s="20"/>
      <c r="C233" s="20"/>
      <c r="D233" s="20"/>
      <c r="E233" s="20"/>
      <c r="F233" s="20"/>
      <c r="G233" s="186">
        <v>101320</v>
      </c>
      <c r="H233" s="186">
        <f>25330+25330</f>
        <v>50660</v>
      </c>
      <c r="I233" s="213">
        <v>32896.92</v>
      </c>
      <c r="J233" s="214"/>
      <c r="K233" s="192">
        <f t="shared" si="4"/>
        <v>0</v>
      </c>
    </row>
    <row r="234" spans="1:11" s="21" customFormat="1" ht="15.75" customHeight="1">
      <c r="A234" s="168" t="s">
        <v>322</v>
      </c>
      <c r="B234" s="20"/>
      <c r="C234" s="20"/>
      <c r="D234" s="20"/>
      <c r="E234" s="20"/>
      <c r="F234" s="20"/>
      <c r="G234" s="186">
        <v>152800</v>
      </c>
      <c r="H234" s="186">
        <f>38200+38200</f>
        <v>76400</v>
      </c>
      <c r="I234" s="262">
        <v>69936.91</v>
      </c>
      <c r="J234" s="214"/>
      <c r="K234" s="192">
        <f t="shared" si="4"/>
        <v>0</v>
      </c>
    </row>
    <row r="235" spans="1:11" s="21" customFormat="1" ht="13.5" customHeight="1">
      <c r="A235" s="168" t="s">
        <v>323</v>
      </c>
      <c r="B235" s="20"/>
      <c r="C235" s="20"/>
      <c r="D235" s="20"/>
      <c r="E235" s="20"/>
      <c r="F235" s="20"/>
      <c r="G235" s="186">
        <v>188000</v>
      </c>
      <c r="H235" s="186">
        <f>47000+47000</f>
        <v>94000</v>
      </c>
      <c r="I235" s="213"/>
      <c r="J235" s="214"/>
      <c r="K235" s="192"/>
    </row>
    <row r="236" spans="1:11" s="21" customFormat="1" ht="13.5" customHeight="1">
      <c r="A236" s="168" t="s">
        <v>324</v>
      </c>
      <c r="B236" s="20"/>
      <c r="C236" s="20"/>
      <c r="D236" s="20"/>
      <c r="E236" s="20"/>
      <c r="F236" s="20"/>
      <c r="G236" s="186">
        <v>187200</v>
      </c>
      <c r="H236" s="186">
        <f>109800+25800</f>
        <v>135600</v>
      </c>
      <c r="I236" s="262">
        <v>20187.36</v>
      </c>
      <c r="J236" s="214"/>
      <c r="K236" s="192">
        <f t="shared" si="4"/>
        <v>0</v>
      </c>
    </row>
    <row r="237" spans="1:11" s="21" customFormat="1" ht="18.75" customHeight="1">
      <c r="A237" s="168" t="s">
        <v>325</v>
      </c>
      <c r="B237" s="20"/>
      <c r="C237" s="20"/>
      <c r="D237" s="20"/>
      <c r="E237" s="20"/>
      <c r="F237" s="20"/>
      <c r="G237" s="186">
        <v>175000</v>
      </c>
      <c r="H237" s="186">
        <f>43750+43750</f>
        <v>87500</v>
      </c>
      <c r="I237" s="213">
        <v>12776.39</v>
      </c>
      <c r="J237" s="214"/>
      <c r="K237" s="192">
        <f t="shared" si="4"/>
        <v>0</v>
      </c>
    </row>
    <row r="238" spans="1:11" s="21" customFormat="1" ht="15.75" customHeight="1">
      <c r="A238" s="168" t="s">
        <v>326</v>
      </c>
      <c r="B238" s="20"/>
      <c r="C238" s="20"/>
      <c r="D238" s="20"/>
      <c r="E238" s="20"/>
      <c r="F238" s="20"/>
      <c r="G238" s="186">
        <v>97120</v>
      </c>
      <c r="H238" s="186">
        <f>24280+24280</f>
        <v>48560</v>
      </c>
      <c r="I238" s="213">
        <v>53164.28</v>
      </c>
      <c r="J238" s="214"/>
      <c r="K238" s="192">
        <f t="shared" si="4"/>
        <v>0</v>
      </c>
    </row>
    <row r="239" spans="1:11" s="21" customFormat="1" ht="17.25" customHeight="1">
      <c r="A239" s="168" t="s">
        <v>327</v>
      </c>
      <c r="B239" s="20"/>
      <c r="C239" s="20"/>
      <c r="D239" s="20"/>
      <c r="E239" s="20"/>
      <c r="F239" s="20"/>
      <c r="G239" s="186">
        <v>188570</v>
      </c>
      <c r="H239" s="186">
        <v>188570</v>
      </c>
      <c r="I239" s="213">
        <v>7003</v>
      </c>
      <c r="J239" s="214"/>
      <c r="K239" s="192">
        <f t="shared" si="4"/>
        <v>0</v>
      </c>
    </row>
    <row r="240" spans="1:11" s="21" customFormat="1" ht="12.75" customHeight="1">
      <c r="A240" s="168" t="s">
        <v>328</v>
      </c>
      <c r="B240" s="20"/>
      <c r="C240" s="20"/>
      <c r="D240" s="20"/>
      <c r="E240" s="20"/>
      <c r="F240" s="20"/>
      <c r="G240" s="186">
        <v>8280</v>
      </c>
      <c r="H240" s="186">
        <f>2070+2070</f>
        <v>4140</v>
      </c>
      <c r="I240" s="213">
        <v>3620</v>
      </c>
      <c r="J240" s="214"/>
      <c r="K240" s="192">
        <f t="shared" si="4"/>
        <v>0</v>
      </c>
    </row>
    <row r="241" spans="1:11" s="21" customFormat="1" ht="16.5" customHeight="1">
      <c r="A241" s="168" t="s">
        <v>329</v>
      </c>
      <c r="B241" s="20"/>
      <c r="C241" s="20"/>
      <c r="D241" s="20"/>
      <c r="E241" s="20"/>
      <c r="F241" s="20"/>
      <c r="G241" s="186">
        <v>30400</v>
      </c>
      <c r="H241" s="186">
        <f>7600+7600</f>
        <v>15200</v>
      </c>
      <c r="I241" s="213">
        <v>17600</v>
      </c>
      <c r="J241" s="214"/>
      <c r="K241" s="192">
        <f t="shared" si="4"/>
        <v>0</v>
      </c>
    </row>
    <row r="242" spans="1:11" s="21" customFormat="1" ht="13.5" customHeight="1">
      <c r="A242" s="168" t="s">
        <v>330</v>
      </c>
      <c r="B242" s="20"/>
      <c r="C242" s="20"/>
      <c r="D242" s="20"/>
      <c r="E242" s="20"/>
      <c r="F242" s="20"/>
      <c r="G242" s="186">
        <v>505000</v>
      </c>
      <c r="H242" s="186">
        <f>125000+130000</f>
        <v>255000</v>
      </c>
      <c r="I242" s="213">
        <v>776096.1</v>
      </c>
      <c r="J242" s="214">
        <f>4246.95+135312.7+96701.5+148053.55+196775.35+163720.53+166042.96</f>
        <v>910853.54</v>
      </c>
      <c r="K242" s="192">
        <f t="shared" si="4"/>
        <v>117.36349918521688</v>
      </c>
    </row>
    <row r="243" spans="1:11" s="45" customFormat="1" ht="12.75">
      <c r="A243" s="43" t="s">
        <v>42</v>
      </c>
      <c r="B243" s="44" t="s">
        <v>146</v>
      </c>
      <c r="C243" s="44" t="s">
        <v>82</v>
      </c>
      <c r="D243" s="44" t="s">
        <v>175</v>
      </c>
      <c r="E243" s="44" t="s">
        <v>43</v>
      </c>
      <c r="F243" s="44"/>
      <c r="G243" s="197">
        <f>G244</f>
        <v>435500</v>
      </c>
      <c r="H243" s="197">
        <f>H244</f>
        <v>435500</v>
      </c>
      <c r="I243" s="197">
        <f>I244</f>
        <v>435178.8</v>
      </c>
      <c r="J243" s="197">
        <f>J244</f>
        <v>419867.79</v>
      </c>
      <c r="K243" s="192">
        <f t="shared" si="4"/>
        <v>96.48167373962151</v>
      </c>
    </row>
    <row r="244" spans="1:11" s="28" customFormat="1" ht="12.75">
      <c r="A244" s="87" t="s">
        <v>44</v>
      </c>
      <c r="B244" s="27" t="s">
        <v>146</v>
      </c>
      <c r="C244" s="27" t="s">
        <v>82</v>
      </c>
      <c r="D244" s="27" t="s">
        <v>175</v>
      </c>
      <c r="E244" s="27" t="s">
        <v>45</v>
      </c>
      <c r="F244" s="27" t="s">
        <v>414</v>
      </c>
      <c r="G244" s="201">
        <v>435500</v>
      </c>
      <c r="H244" s="201">
        <v>435500</v>
      </c>
      <c r="I244" s="202">
        <v>435178.8</v>
      </c>
      <c r="J244" s="214">
        <f>288184.89+33693.42+2284.87+8537.12+75504.44+8827.68+598.64+2236.73</f>
        <v>419867.79</v>
      </c>
      <c r="K244" s="192">
        <f t="shared" si="4"/>
        <v>96.48167373962151</v>
      </c>
    </row>
    <row r="245" spans="1:11" s="21" customFormat="1" ht="12.75">
      <c r="A245" s="6" t="s">
        <v>355</v>
      </c>
      <c r="B245" s="20"/>
      <c r="C245" s="20"/>
      <c r="D245" s="20"/>
      <c r="E245" s="20"/>
      <c r="F245" s="20"/>
      <c r="G245" s="214"/>
      <c r="H245" s="214" t="s">
        <v>445</v>
      </c>
      <c r="I245" s="215"/>
      <c r="J245" s="214"/>
      <c r="K245" s="192"/>
    </row>
    <row r="246" spans="1:11" s="45" customFormat="1" ht="12.75">
      <c r="A246" s="43" t="s">
        <v>47</v>
      </c>
      <c r="B246" s="44" t="s">
        <v>146</v>
      </c>
      <c r="C246" s="44" t="s">
        <v>82</v>
      </c>
      <c r="D246" s="44" t="s">
        <v>175</v>
      </c>
      <c r="E246" s="44" t="s">
        <v>48</v>
      </c>
      <c r="F246" s="44"/>
      <c r="G246" s="197">
        <f>SUM(G247)</f>
        <v>445000</v>
      </c>
      <c r="H246" s="197">
        <f>SUM(H247)</f>
        <v>222500</v>
      </c>
      <c r="I246" s="197">
        <f>SUM(I247)</f>
        <v>129706.15</v>
      </c>
      <c r="J246" s="197">
        <f>SUM(J247)</f>
        <v>144538.15</v>
      </c>
      <c r="K246" s="192">
        <f t="shared" si="4"/>
        <v>111.43507844462272</v>
      </c>
    </row>
    <row r="247" spans="1:11" s="21" customFormat="1" ht="27.75" customHeight="1">
      <c r="A247" s="12" t="s">
        <v>354</v>
      </c>
      <c r="B247" s="20"/>
      <c r="C247" s="20"/>
      <c r="D247" s="20"/>
      <c r="E247" s="20"/>
      <c r="F247" s="153" t="s">
        <v>383</v>
      </c>
      <c r="G247" s="214">
        <v>445000</v>
      </c>
      <c r="H247" s="214">
        <f>111250+111250</f>
        <v>222500</v>
      </c>
      <c r="I247" s="215">
        <f>129706.15</f>
        <v>129706.15</v>
      </c>
      <c r="J247" s="214">
        <v>144538.15</v>
      </c>
      <c r="K247" s="192">
        <f t="shared" si="4"/>
        <v>111.43507844462272</v>
      </c>
    </row>
    <row r="248" spans="1:11" s="45" customFormat="1" ht="12.75">
      <c r="A248" s="43" t="s">
        <v>49</v>
      </c>
      <c r="B248" s="44" t="s">
        <v>146</v>
      </c>
      <c r="C248" s="44" t="s">
        <v>82</v>
      </c>
      <c r="D248" s="44" t="s">
        <v>175</v>
      </c>
      <c r="E248" s="44" t="s">
        <v>50</v>
      </c>
      <c r="F248" s="44"/>
      <c r="G248" s="197">
        <f>SUM(G249,G253)</f>
        <v>2097500</v>
      </c>
      <c r="H248" s="197">
        <f>SUM(H249,H253)</f>
        <v>1671000</v>
      </c>
      <c r="I248" s="197">
        <f>SUM(I249,I253)</f>
        <v>715487.4299999999</v>
      </c>
      <c r="J248" s="197">
        <f>SUM(J249,J253)</f>
        <v>1082448.66</v>
      </c>
      <c r="K248" s="192">
        <f t="shared" si="4"/>
        <v>151.28828468726556</v>
      </c>
    </row>
    <row r="249" spans="1:12" s="28" customFormat="1" ht="12.75">
      <c r="A249" s="87" t="s">
        <v>51</v>
      </c>
      <c r="B249" s="27" t="s">
        <v>146</v>
      </c>
      <c r="C249" s="27" t="s">
        <v>82</v>
      </c>
      <c r="D249" s="27" t="s">
        <v>175</v>
      </c>
      <c r="E249" s="27" t="s">
        <v>52</v>
      </c>
      <c r="F249" s="27"/>
      <c r="G249" s="201">
        <f>SUM(G250:G252)</f>
        <v>653500</v>
      </c>
      <c r="H249" s="201">
        <f>SUM(H250:H252)</f>
        <v>385750</v>
      </c>
      <c r="I249" s="201">
        <f>SUM(I250:I252)</f>
        <v>345674.1</v>
      </c>
      <c r="J249" s="201">
        <f>144363.4+1.74</f>
        <v>144365.13999999998</v>
      </c>
      <c r="K249" s="192">
        <f t="shared" si="4"/>
        <v>41.76336613012082</v>
      </c>
      <c r="L249" s="28" t="s">
        <v>451</v>
      </c>
    </row>
    <row r="250" spans="1:11" s="21" customFormat="1" ht="12.75">
      <c r="A250" s="7" t="s">
        <v>356</v>
      </c>
      <c r="B250" s="20"/>
      <c r="C250" s="20"/>
      <c r="D250" s="20"/>
      <c r="E250" s="20"/>
      <c r="F250" s="20"/>
      <c r="G250" s="214"/>
      <c r="H250" s="214"/>
      <c r="I250" s="215"/>
      <c r="J250" s="214"/>
      <c r="K250" s="192"/>
    </row>
    <row r="251" spans="1:11" s="21" customFormat="1" ht="38.25" customHeight="1">
      <c r="A251" s="7" t="s">
        <v>54</v>
      </c>
      <c r="B251" s="20"/>
      <c r="C251" s="20"/>
      <c r="D251" s="20"/>
      <c r="E251" s="20"/>
      <c r="F251" s="20" t="s">
        <v>384</v>
      </c>
      <c r="G251" s="214">
        <v>271500</v>
      </c>
      <c r="H251" s="214">
        <f>67875+67875</f>
        <v>135750</v>
      </c>
      <c r="I251" s="215">
        <v>113820.5</v>
      </c>
      <c r="J251" s="214"/>
      <c r="K251" s="192">
        <f t="shared" si="4"/>
        <v>0</v>
      </c>
    </row>
    <row r="252" spans="1:11" s="21" customFormat="1" ht="52.5" customHeight="1">
      <c r="A252" s="7" t="s">
        <v>365</v>
      </c>
      <c r="B252" s="20"/>
      <c r="C252" s="20"/>
      <c r="D252" s="20"/>
      <c r="E252" s="20"/>
      <c r="F252" s="20" t="s">
        <v>385</v>
      </c>
      <c r="G252" s="214">
        <v>382000</v>
      </c>
      <c r="H252" s="214">
        <f>150000+100000</f>
        <v>250000</v>
      </c>
      <c r="I252" s="215">
        <v>231853.6</v>
      </c>
      <c r="J252" s="214"/>
      <c r="K252" s="192">
        <f t="shared" si="4"/>
        <v>0</v>
      </c>
    </row>
    <row r="253" spans="1:11" s="28" customFormat="1" ht="14.25" customHeight="1">
      <c r="A253" s="87" t="s">
        <v>56</v>
      </c>
      <c r="B253" s="27" t="s">
        <v>146</v>
      </c>
      <c r="C253" s="27" t="s">
        <v>82</v>
      </c>
      <c r="D253" s="27" t="s">
        <v>175</v>
      </c>
      <c r="E253" s="27" t="s">
        <v>57</v>
      </c>
      <c r="F253" s="27"/>
      <c r="G253" s="201">
        <f>G254+G255+G256+G257</f>
        <v>1444000</v>
      </c>
      <c r="H253" s="201">
        <f>H254+H255+H256+H257</f>
        <v>1285250</v>
      </c>
      <c r="I253" s="201">
        <f>I254+I255+I256+I257</f>
        <v>369813.33</v>
      </c>
      <c r="J253" s="201">
        <v>938083.52</v>
      </c>
      <c r="K253" s="192">
        <f t="shared" si="4"/>
        <v>253.66406343438186</v>
      </c>
    </row>
    <row r="254" spans="1:11" s="21" customFormat="1" ht="25.5">
      <c r="A254" s="7" t="s">
        <v>357</v>
      </c>
      <c r="B254" s="20"/>
      <c r="C254" s="20"/>
      <c r="D254" s="20"/>
      <c r="E254" s="20"/>
      <c r="F254" s="20" t="s">
        <v>386</v>
      </c>
      <c r="G254" s="214"/>
      <c r="H254" s="214">
        <v>0</v>
      </c>
      <c r="I254" s="215"/>
      <c r="J254" s="214"/>
      <c r="K254" s="192"/>
    </row>
    <row r="255" spans="1:11" s="21" customFormat="1" ht="12.75">
      <c r="A255" s="7" t="s">
        <v>366</v>
      </c>
      <c r="B255" s="20"/>
      <c r="C255" s="20"/>
      <c r="D255" s="20"/>
      <c r="E255" s="20"/>
      <c r="F255" s="20" t="s">
        <v>387</v>
      </c>
      <c r="G255" s="214"/>
      <c r="H255" s="214">
        <v>0</v>
      </c>
      <c r="I255" s="215"/>
      <c r="J255" s="214"/>
      <c r="K255" s="192"/>
    </row>
    <row r="256" spans="1:11" s="21" customFormat="1" ht="12.75">
      <c r="A256" s="7" t="s">
        <v>359</v>
      </c>
      <c r="B256" s="20"/>
      <c r="C256" s="20"/>
      <c r="D256" s="20"/>
      <c r="E256" s="20"/>
      <c r="F256" s="20" t="s">
        <v>388</v>
      </c>
      <c r="G256" s="214">
        <v>509000</v>
      </c>
      <c r="H256" s="214">
        <v>509000</v>
      </c>
      <c r="I256" s="215"/>
      <c r="J256" s="214"/>
      <c r="K256" s="192"/>
    </row>
    <row r="257" spans="1:11" s="21" customFormat="1" ht="25.5">
      <c r="A257" s="7" t="s">
        <v>367</v>
      </c>
      <c r="B257" s="20"/>
      <c r="C257" s="20"/>
      <c r="D257" s="20"/>
      <c r="E257" s="20"/>
      <c r="F257" s="20" t="s">
        <v>389</v>
      </c>
      <c r="G257" s="214">
        <v>935000</v>
      </c>
      <c r="H257" s="214">
        <f>317500+458750</f>
        <v>776250</v>
      </c>
      <c r="I257" s="215">
        <v>369813.33</v>
      </c>
      <c r="J257" s="214"/>
      <c r="K257" s="192">
        <f t="shared" si="4"/>
        <v>0</v>
      </c>
    </row>
    <row r="258" spans="1:11" s="21" customFormat="1" ht="12.75">
      <c r="A258" s="117" t="s">
        <v>234</v>
      </c>
      <c r="B258" s="44" t="s">
        <v>146</v>
      </c>
      <c r="C258" s="44" t="s">
        <v>82</v>
      </c>
      <c r="D258" s="44" t="s">
        <v>342</v>
      </c>
      <c r="E258" s="44" t="s">
        <v>2</v>
      </c>
      <c r="F258" s="20"/>
      <c r="G258" s="197">
        <f>G259</f>
        <v>898656</v>
      </c>
      <c r="H258" s="197">
        <f>H259</f>
        <v>451578</v>
      </c>
      <c r="I258" s="197">
        <f>I259</f>
        <v>395822.75</v>
      </c>
      <c r="J258" s="197">
        <f>J259</f>
        <v>449052.85</v>
      </c>
      <c r="K258" s="192">
        <f t="shared" si="4"/>
        <v>113.44796376661019</v>
      </c>
    </row>
    <row r="259" spans="1:11" s="21" customFormat="1" ht="12.75">
      <c r="A259" s="123" t="s">
        <v>4</v>
      </c>
      <c r="B259" s="20" t="s">
        <v>146</v>
      </c>
      <c r="C259" s="20" t="s">
        <v>82</v>
      </c>
      <c r="D259" s="20" t="s">
        <v>342</v>
      </c>
      <c r="E259" s="14" t="s">
        <v>5</v>
      </c>
      <c r="F259" s="20"/>
      <c r="G259" s="214">
        <v>898656</v>
      </c>
      <c r="H259" s="214">
        <f>223539+228039</f>
        <v>451578</v>
      </c>
      <c r="I259" s="215">
        <f>I260+I261</f>
        <v>395822.75</v>
      </c>
      <c r="J259" s="215">
        <f>J260+J261</f>
        <v>449052.85</v>
      </c>
      <c r="K259" s="192">
        <f t="shared" si="4"/>
        <v>113.44796376661019</v>
      </c>
    </row>
    <row r="260" spans="1:11" s="21" customFormat="1" ht="12.75">
      <c r="A260" s="118" t="s">
        <v>6</v>
      </c>
      <c r="B260" s="20" t="s">
        <v>146</v>
      </c>
      <c r="C260" s="20" t="s">
        <v>82</v>
      </c>
      <c r="D260" s="20" t="s">
        <v>342</v>
      </c>
      <c r="E260" s="20" t="s">
        <v>7</v>
      </c>
      <c r="F260" s="20" t="s">
        <v>369</v>
      </c>
      <c r="G260" s="214">
        <v>712023</v>
      </c>
      <c r="H260" s="214">
        <f>177131+180631</f>
        <v>357762</v>
      </c>
      <c r="I260" s="215">
        <v>329895.78</v>
      </c>
      <c r="J260" s="272">
        <f>57896.37+61176.41+61718.59+58981+60502.81+59043.6</f>
        <v>359318.77999999997</v>
      </c>
      <c r="K260" s="192">
        <f t="shared" si="4"/>
        <v>108.91887734968904</v>
      </c>
    </row>
    <row r="261" spans="1:11" s="21" customFormat="1" ht="12.75">
      <c r="A261" s="118" t="s">
        <v>13</v>
      </c>
      <c r="B261" s="20" t="s">
        <v>146</v>
      </c>
      <c r="C261" s="20" t="s">
        <v>82</v>
      </c>
      <c r="D261" s="20" t="s">
        <v>342</v>
      </c>
      <c r="E261" s="20" t="s">
        <v>14</v>
      </c>
      <c r="F261" s="20" t="s">
        <v>369</v>
      </c>
      <c r="G261" s="214">
        <v>186633</v>
      </c>
      <c r="H261" s="214">
        <f>46408+47408</f>
        <v>93816</v>
      </c>
      <c r="I261" s="215">
        <v>65926.97</v>
      </c>
      <c r="J261" s="272">
        <f>12910.9+13878.72+16170.27+15453.02+15851.74+15469.42</f>
        <v>89734.07</v>
      </c>
      <c r="K261" s="192">
        <f t="shared" si="4"/>
        <v>136.11132136059035</v>
      </c>
    </row>
    <row r="262" spans="1:11" s="15" customFormat="1" ht="25.5" hidden="1">
      <c r="A262" s="9" t="s">
        <v>87</v>
      </c>
      <c r="B262" s="5" t="s">
        <v>147</v>
      </c>
      <c r="C262" s="5" t="s">
        <v>88</v>
      </c>
      <c r="D262" s="5" t="s">
        <v>2</v>
      </c>
      <c r="E262" s="5"/>
      <c r="F262" s="5"/>
      <c r="G262" s="174"/>
      <c r="H262" s="174"/>
      <c r="I262" s="196"/>
      <c r="J262" s="211"/>
      <c r="K262" s="192" t="e">
        <f t="shared" si="4"/>
        <v>#DIV/0!</v>
      </c>
    </row>
    <row r="263" spans="1:11" s="72" customFormat="1" ht="25.5" hidden="1">
      <c r="A263" s="81" t="s">
        <v>136</v>
      </c>
      <c r="B263" s="82" t="s">
        <v>147</v>
      </c>
      <c r="C263" s="82" t="s">
        <v>137</v>
      </c>
      <c r="D263" s="82" t="s">
        <v>138</v>
      </c>
      <c r="E263" s="82"/>
      <c r="F263" s="82"/>
      <c r="G263" s="173"/>
      <c r="H263" s="173"/>
      <c r="I263" s="198"/>
      <c r="J263" s="207"/>
      <c r="K263" s="192" t="e">
        <f t="shared" si="4"/>
        <v>#DIV/0!</v>
      </c>
    </row>
    <row r="264" spans="1:11" s="72" customFormat="1" ht="9.75" customHeight="1" hidden="1">
      <c r="A264" s="69" t="s">
        <v>203</v>
      </c>
      <c r="B264" s="70" t="s">
        <v>147</v>
      </c>
      <c r="C264" s="70" t="s">
        <v>137</v>
      </c>
      <c r="D264" s="70" t="s">
        <v>138</v>
      </c>
      <c r="E264" s="70" t="s">
        <v>202</v>
      </c>
      <c r="F264" s="70"/>
      <c r="G264" s="173"/>
      <c r="H264" s="173"/>
      <c r="I264" s="198"/>
      <c r="J264" s="207"/>
      <c r="K264" s="192" t="e">
        <f t="shared" si="4"/>
        <v>#DIV/0!</v>
      </c>
    </row>
    <row r="265" spans="1:11" s="30" customFormat="1" ht="12.75" customHeight="1" hidden="1">
      <c r="A265" s="33" t="s">
        <v>89</v>
      </c>
      <c r="B265" s="29"/>
      <c r="C265" s="29"/>
      <c r="D265" s="29"/>
      <c r="E265" s="29"/>
      <c r="F265" s="29"/>
      <c r="G265" s="175"/>
      <c r="H265" s="175"/>
      <c r="I265" s="205"/>
      <c r="J265" s="212"/>
      <c r="K265" s="192" t="e">
        <f t="shared" si="4"/>
        <v>#DIV/0!</v>
      </c>
    </row>
    <row r="266" spans="1:11" s="30" customFormat="1" ht="15" customHeight="1" hidden="1">
      <c r="A266" s="33" t="s">
        <v>90</v>
      </c>
      <c r="B266" s="29"/>
      <c r="C266" s="29"/>
      <c r="D266" s="29"/>
      <c r="E266" s="29"/>
      <c r="F266" s="29"/>
      <c r="G266" s="175"/>
      <c r="H266" s="175"/>
      <c r="I266" s="205"/>
      <c r="J266" s="212"/>
      <c r="K266" s="192" t="e">
        <f t="shared" si="4"/>
        <v>#DIV/0!</v>
      </c>
    </row>
    <row r="267" spans="1:11" s="15" customFormat="1" ht="12.75">
      <c r="A267" s="47" t="s">
        <v>228</v>
      </c>
      <c r="B267" s="48" t="s">
        <v>149</v>
      </c>
      <c r="C267" s="48" t="s">
        <v>88</v>
      </c>
      <c r="D267" s="48" t="s">
        <v>2</v>
      </c>
      <c r="E267" s="48"/>
      <c r="F267" s="48"/>
      <c r="G267" s="238">
        <f>G268+G300+G304+G315</f>
        <v>9319771</v>
      </c>
      <c r="H267" s="238">
        <f>H268+H300+H304+H315</f>
        <v>7972574</v>
      </c>
      <c r="I267" s="238">
        <f>I268+I300+I304+I315+I303</f>
        <v>3072269.39</v>
      </c>
      <c r="J267" s="238">
        <f>J268+J300+J304+J315+J303</f>
        <v>740664.63</v>
      </c>
      <c r="K267" s="192">
        <f aca="true" t="shared" si="5" ref="K267:K330">J267*100/I267</f>
        <v>24.10806267219946</v>
      </c>
    </row>
    <row r="268" spans="1:11" s="45" customFormat="1" ht="25.5">
      <c r="A268" s="10" t="s">
        <v>248</v>
      </c>
      <c r="B268" s="44" t="s">
        <v>149</v>
      </c>
      <c r="C268" s="44" t="s">
        <v>82</v>
      </c>
      <c r="D268" s="44" t="s">
        <v>69</v>
      </c>
      <c r="E268" s="44"/>
      <c r="F268" s="44"/>
      <c r="G268" s="239">
        <f>G269</f>
        <v>8362000</v>
      </c>
      <c r="H268" s="239">
        <f>H269</f>
        <v>7590890</v>
      </c>
      <c r="I268" s="239">
        <f>I269</f>
        <v>3150195.3</v>
      </c>
      <c r="J268" s="239">
        <f>J269</f>
        <v>526442.63</v>
      </c>
      <c r="K268" s="192">
        <f t="shared" si="5"/>
        <v>16.71142833588762</v>
      </c>
    </row>
    <row r="269" spans="1:11" s="21" customFormat="1" ht="14.25" customHeight="1">
      <c r="A269" s="12" t="s">
        <v>37</v>
      </c>
      <c r="B269" s="20" t="s">
        <v>149</v>
      </c>
      <c r="C269" s="20" t="s">
        <v>82</v>
      </c>
      <c r="D269" s="20" t="s">
        <v>69</v>
      </c>
      <c r="E269" s="20" t="s">
        <v>38</v>
      </c>
      <c r="F269" s="20"/>
      <c r="G269" s="236">
        <f>G292+G293+G294+G295+G296+G297+G298+G299</f>
        <v>8362000</v>
      </c>
      <c r="H269" s="236">
        <f>H292+H293+H294+H295+H296+H297+H298+H299</f>
        <v>7590890</v>
      </c>
      <c r="I269" s="236">
        <f>I292+I293+I294+I295+I296+I297+I298+I299</f>
        <v>3150195.3</v>
      </c>
      <c r="J269" s="236">
        <f>J292+J293+J294+J295+J296+J297+J298+J299</f>
        <v>526442.63</v>
      </c>
      <c r="K269" s="192">
        <f t="shared" si="5"/>
        <v>16.71142833588762</v>
      </c>
    </row>
    <row r="270" spans="1:11" s="21" customFormat="1" ht="24.75" customHeight="1">
      <c r="A270" s="19" t="s">
        <v>392</v>
      </c>
      <c r="B270" s="20"/>
      <c r="C270" s="20"/>
      <c r="D270" s="20"/>
      <c r="E270" s="20"/>
      <c r="F270" s="20" t="s">
        <v>382</v>
      </c>
      <c r="G270" s="236">
        <f>SUM(G270:G299)</f>
        <v>0</v>
      </c>
      <c r="H270" s="236">
        <f>SUM(H270:H299)</f>
        <v>0</v>
      </c>
      <c r="I270" s="236">
        <f>SUM(I270:I299)</f>
        <v>0</v>
      </c>
      <c r="J270" s="236">
        <f>SUM(J270:J299)</f>
        <v>0</v>
      </c>
      <c r="K270" s="192">
        <f t="shared" si="5"/>
        <v>83.46134267239088</v>
      </c>
    </row>
    <row r="271" spans="1:11" s="21" customFormat="1" ht="25.5" hidden="1">
      <c r="A271" s="16" t="s">
        <v>226</v>
      </c>
      <c r="B271" s="20"/>
      <c r="C271" s="20"/>
      <c r="D271" s="20"/>
      <c r="E271" s="20"/>
      <c r="F271" s="20"/>
      <c r="G271" s="236"/>
      <c r="H271" s="236"/>
      <c r="I271" s="215"/>
      <c r="J271" s="214">
        <f aca="true" t="shared" si="6" ref="J271:J291">G271-I271</f>
        <v>0</v>
      </c>
      <c r="K271" s="192" t="e">
        <f t="shared" si="5"/>
        <v>#DIV/0!</v>
      </c>
    </row>
    <row r="272" spans="1:11" s="21" customFormat="1" ht="51" hidden="1">
      <c r="A272" s="103" t="s">
        <v>227</v>
      </c>
      <c r="B272" s="20"/>
      <c r="C272" s="20"/>
      <c r="D272" s="20"/>
      <c r="E272" s="20"/>
      <c r="F272" s="20"/>
      <c r="G272" s="236"/>
      <c r="H272" s="236"/>
      <c r="I272" s="215"/>
      <c r="J272" s="214">
        <f t="shared" si="6"/>
        <v>0</v>
      </c>
      <c r="K272" s="192" t="e">
        <f t="shared" si="5"/>
        <v>#DIV/0!</v>
      </c>
    </row>
    <row r="273" spans="1:11" s="21" customFormat="1" ht="38.25" hidden="1">
      <c r="A273" s="35" t="s">
        <v>95</v>
      </c>
      <c r="B273" s="20"/>
      <c r="C273" s="20"/>
      <c r="D273" s="20"/>
      <c r="E273" s="20"/>
      <c r="F273" s="20"/>
      <c r="G273" s="236"/>
      <c r="H273" s="236"/>
      <c r="I273" s="215"/>
      <c r="J273" s="214">
        <f t="shared" si="6"/>
        <v>0</v>
      </c>
      <c r="K273" s="192" t="e">
        <f t="shared" si="5"/>
        <v>#DIV/0!</v>
      </c>
    </row>
    <row r="274" spans="1:11" s="21" customFormat="1" ht="23.25" customHeight="1" hidden="1">
      <c r="A274" s="35" t="s">
        <v>96</v>
      </c>
      <c r="B274" s="20"/>
      <c r="C274" s="20"/>
      <c r="D274" s="20"/>
      <c r="E274" s="20"/>
      <c r="F274" s="20"/>
      <c r="G274" s="236"/>
      <c r="H274" s="236"/>
      <c r="I274" s="215"/>
      <c r="J274" s="214">
        <f t="shared" si="6"/>
        <v>0</v>
      </c>
      <c r="K274" s="192" t="e">
        <f t="shared" si="5"/>
        <v>#DIV/0!</v>
      </c>
    </row>
    <row r="275" spans="1:11" s="21" customFormat="1" ht="12.75" hidden="1">
      <c r="A275" s="36" t="s">
        <v>97</v>
      </c>
      <c r="B275" s="20"/>
      <c r="C275" s="20"/>
      <c r="D275" s="20"/>
      <c r="E275" s="20"/>
      <c r="F275" s="20"/>
      <c r="G275" s="236"/>
      <c r="H275" s="236"/>
      <c r="I275" s="215"/>
      <c r="J275" s="214">
        <f t="shared" si="6"/>
        <v>0</v>
      </c>
      <c r="K275" s="192" t="e">
        <f t="shared" si="5"/>
        <v>#DIV/0!</v>
      </c>
    </row>
    <row r="276" spans="1:11" s="21" customFormat="1" ht="12.75" hidden="1">
      <c r="A276" s="35" t="s">
        <v>98</v>
      </c>
      <c r="B276" s="20"/>
      <c r="C276" s="20"/>
      <c r="D276" s="20"/>
      <c r="E276" s="20"/>
      <c r="F276" s="20"/>
      <c r="G276" s="236"/>
      <c r="H276" s="236"/>
      <c r="I276" s="215"/>
      <c r="J276" s="214">
        <f t="shared" si="6"/>
        <v>0</v>
      </c>
      <c r="K276" s="192" t="e">
        <f t="shared" si="5"/>
        <v>#DIV/0!</v>
      </c>
    </row>
    <row r="277" spans="1:11" s="21" customFormat="1" ht="12.75" hidden="1">
      <c r="A277" s="37" t="s">
        <v>99</v>
      </c>
      <c r="B277" s="20"/>
      <c r="C277" s="20"/>
      <c r="D277" s="20"/>
      <c r="E277" s="20"/>
      <c r="F277" s="20"/>
      <c r="G277" s="236"/>
      <c r="H277" s="236"/>
      <c r="I277" s="215"/>
      <c r="J277" s="214">
        <f t="shared" si="6"/>
        <v>0</v>
      </c>
      <c r="K277" s="192" t="e">
        <f t="shared" si="5"/>
        <v>#DIV/0!</v>
      </c>
    </row>
    <row r="278" spans="1:11" s="21" customFormat="1" ht="25.5" hidden="1">
      <c r="A278" s="38" t="s">
        <v>100</v>
      </c>
      <c r="B278" s="20"/>
      <c r="C278" s="20"/>
      <c r="D278" s="20"/>
      <c r="E278" s="20"/>
      <c r="F278" s="20"/>
      <c r="G278" s="236"/>
      <c r="H278" s="236"/>
      <c r="I278" s="215"/>
      <c r="J278" s="214">
        <f t="shared" si="6"/>
        <v>0</v>
      </c>
      <c r="K278" s="192" t="e">
        <f t="shared" si="5"/>
        <v>#DIV/0!</v>
      </c>
    </row>
    <row r="279" spans="1:11" s="21" customFormat="1" ht="12.75" hidden="1">
      <c r="A279" s="39" t="s">
        <v>101</v>
      </c>
      <c r="B279" s="20"/>
      <c r="C279" s="20"/>
      <c r="D279" s="20"/>
      <c r="E279" s="20"/>
      <c r="F279" s="20"/>
      <c r="G279" s="236"/>
      <c r="H279" s="236"/>
      <c r="I279" s="215"/>
      <c r="J279" s="214">
        <f t="shared" si="6"/>
        <v>0</v>
      </c>
      <c r="K279" s="192" t="e">
        <f t="shared" si="5"/>
        <v>#DIV/0!</v>
      </c>
    </row>
    <row r="280" spans="1:11" s="21" customFormat="1" ht="12.75" hidden="1">
      <c r="A280" s="39" t="s">
        <v>102</v>
      </c>
      <c r="B280" s="20"/>
      <c r="C280" s="20"/>
      <c r="D280" s="20"/>
      <c r="E280" s="20"/>
      <c r="F280" s="20"/>
      <c r="G280" s="236"/>
      <c r="H280" s="236"/>
      <c r="I280" s="215"/>
      <c r="J280" s="214">
        <f t="shared" si="6"/>
        <v>0</v>
      </c>
      <c r="K280" s="192" t="e">
        <f t="shared" si="5"/>
        <v>#DIV/0!</v>
      </c>
    </row>
    <row r="281" spans="1:11" s="21" customFormat="1" ht="25.5" hidden="1">
      <c r="A281" s="40" t="s">
        <v>103</v>
      </c>
      <c r="B281" s="20"/>
      <c r="C281" s="20"/>
      <c r="D281" s="20"/>
      <c r="E281" s="20"/>
      <c r="F281" s="20"/>
      <c r="G281" s="236"/>
      <c r="H281" s="236"/>
      <c r="I281" s="215"/>
      <c r="J281" s="214">
        <f t="shared" si="6"/>
        <v>0</v>
      </c>
      <c r="K281" s="192" t="e">
        <f t="shared" si="5"/>
        <v>#DIV/0!</v>
      </c>
    </row>
    <row r="282" spans="1:11" s="21" customFormat="1" ht="25.5" hidden="1">
      <c r="A282" s="40" t="s">
        <v>104</v>
      </c>
      <c r="B282" s="20"/>
      <c r="C282" s="20"/>
      <c r="D282" s="20"/>
      <c r="E282" s="20"/>
      <c r="F282" s="20"/>
      <c r="G282" s="236"/>
      <c r="H282" s="236"/>
      <c r="I282" s="215"/>
      <c r="J282" s="214">
        <f t="shared" si="6"/>
        <v>0</v>
      </c>
      <c r="K282" s="192" t="e">
        <f t="shared" si="5"/>
        <v>#DIV/0!</v>
      </c>
    </row>
    <row r="283" spans="1:11" s="21" customFormat="1" ht="12.75" hidden="1">
      <c r="A283" s="41" t="s">
        <v>105</v>
      </c>
      <c r="B283" s="20"/>
      <c r="C283" s="20"/>
      <c r="D283" s="20"/>
      <c r="E283" s="20"/>
      <c r="F283" s="20"/>
      <c r="G283" s="236"/>
      <c r="H283" s="236"/>
      <c r="I283" s="215"/>
      <c r="J283" s="214">
        <f t="shared" si="6"/>
        <v>0</v>
      </c>
      <c r="K283" s="192" t="e">
        <f t="shared" si="5"/>
        <v>#DIV/0!</v>
      </c>
    </row>
    <row r="284" spans="1:11" s="21" customFormat="1" ht="12.75" hidden="1">
      <c r="A284" s="42" t="s">
        <v>106</v>
      </c>
      <c r="B284" s="20"/>
      <c r="C284" s="20"/>
      <c r="D284" s="20"/>
      <c r="E284" s="20"/>
      <c r="F284" s="20"/>
      <c r="G284" s="236"/>
      <c r="H284" s="236"/>
      <c r="I284" s="215"/>
      <c r="J284" s="214">
        <f t="shared" si="6"/>
        <v>0</v>
      </c>
      <c r="K284" s="192" t="e">
        <f t="shared" si="5"/>
        <v>#DIV/0!</v>
      </c>
    </row>
    <row r="285" spans="1:11" s="21" customFormat="1" ht="12.75" hidden="1">
      <c r="A285" s="42" t="s">
        <v>107</v>
      </c>
      <c r="B285" s="20"/>
      <c r="C285" s="20"/>
      <c r="D285" s="20"/>
      <c r="E285" s="20"/>
      <c r="F285" s="20"/>
      <c r="G285" s="236"/>
      <c r="H285" s="236"/>
      <c r="I285" s="215"/>
      <c r="J285" s="214">
        <f t="shared" si="6"/>
        <v>0</v>
      </c>
      <c r="K285" s="192" t="e">
        <f t="shared" si="5"/>
        <v>#DIV/0!</v>
      </c>
    </row>
    <row r="286" spans="1:11" s="21" customFormat="1" ht="12.75" hidden="1">
      <c r="A286" s="42" t="s">
        <v>108</v>
      </c>
      <c r="B286" s="20"/>
      <c r="C286" s="20"/>
      <c r="D286" s="20"/>
      <c r="E286" s="20"/>
      <c r="F286" s="20"/>
      <c r="G286" s="236"/>
      <c r="H286" s="236"/>
      <c r="I286" s="215"/>
      <c r="J286" s="214">
        <f t="shared" si="6"/>
        <v>0</v>
      </c>
      <c r="K286" s="192" t="e">
        <f t="shared" si="5"/>
        <v>#DIV/0!</v>
      </c>
    </row>
    <row r="287" spans="1:11" s="21" customFormat="1" ht="12.75" hidden="1">
      <c r="A287" s="37" t="s">
        <v>109</v>
      </c>
      <c r="B287" s="20"/>
      <c r="C287" s="20"/>
      <c r="D287" s="20"/>
      <c r="E287" s="20"/>
      <c r="F287" s="20"/>
      <c r="G287" s="236"/>
      <c r="H287" s="236"/>
      <c r="I287" s="215"/>
      <c r="J287" s="214">
        <f t="shared" si="6"/>
        <v>0</v>
      </c>
      <c r="K287" s="192" t="e">
        <f t="shared" si="5"/>
        <v>#DIV/0!</v>
      </c>
    </row>
    <row r="288" spans="1:11" s="21" customFormat="1" ht="12.75" hidden="1">
      <c r="A288" s="37" t="s">
        <v>110</v>
      </c>
      <c r="B288" s="20"/>
      <c r="C288" s="20"/>
      <c r="D288" s="20"/>
      <c r="E288" s="20"/>
      <c r="F288" s="20"/>
      <c r="G288" s="236"/>
      <c r="H288" s="236"/>
      <c r="I288" s="215"/>
      <c r="J288" s="214">
        <f t="shared" si="6"/>
        <v>0</v>
      </c>
      <c r="K288" s="192" t="e">
        <f t="shared" si="5"/>
        <v>#DIV/0!</v>
      </c>
    </row>
    <row r="289" spans="1:11" s="21" customFormat="1" ht="12.75" hidden="1">
      <c r="A289" s="37" t="s">
        <v>111</v>
      </c>
      <c r="B289" s="20"/>
      <c r="C289" s="20"/>
      <c r="D289" s="20"/>
      <c r="E289" s="20"/>
      <c r="F289" s="20"/>
      <c r="G289" s="236"/>
      <c r="H289" s="236"/>
      <c r="I289" s="215"/>
      <c r="J289" s="214">
        <f t="shared" si="6"/>
        <v>0</v>
      </c>
      <c r="K289" s="192" t="e">
        <f t="shared" si="5"/>
        <v>#DIV/0!</v>
      </c>
    </row>
    <row r="290" spans="1:11" s="21" customFormat="1" ht="12.75" hidden="1">
      <c r="A290" s="34" t="s">
        <v>112</v>
      </c>
      <c r="B290" s="20"/>
      <c r="C290" s="20"/>
      <c r="D290" s="20"/>
      <c r="E290" s="20"/>
      <c r="F290" s="20"/>
      <c r="G290" s="236"/>
      <c r="H290" s="236"/>
      <c r="I290" s="215"/>
      <c r="J290" s="214">
        <f t="shared" si="6"/>
        <v>0</v>
      </c>
      <c r="K290" s="192" t="e">
        <f t="shared" si="5"/>
        <v>#DIV/0!</v>
      </c>
    </row>
    <row r="291" spans="1:11" s="21" customFormat="1" ht="25.5" hidden="1">
      <c r="A291" s="47" t="s">
        <v>204</v>
      </c>
      <c r="B291" s="48" t="s">
        <v>149</v>
      </c>
      <c r="C291" s="48" t="s">
        <v>205</v>
      </c>
      <c r="D291" s="48" t="s">
        <v>206</v>
      </c>
      <c r="E291" s="48" t="s">
        <v>2</v>
      </c>
      <c r="F291" s="48"/>
      <c r="G291" s="236"/>
      <c r="H291" s="236"/>
      <c r="I291" s="215"/>
      <c r="J291" s="214">
        <f t="shared" si="6"/>
        <v>0</v>
      </c>
      <c r="K291" s="192" t="e">
        <f t="shared" si="5"/>
        <v>#DIV/0!</v>
      </c>
    </row>
    <row r="292" spans="1:11" s="45" customFormat="1" ht="27" customHeight="1">
      <c r="A292" s="16" t="s">
        <v>249</v>
      </c>
      <c r="B292" s="44"/>
      <c r="C292" s="44"/>
      <c r="D292" s="44"/>
      <c r="E292" s="44"/>
      <c r="F292" s="20" t="s">
        <v>382</v>
      </c>
      <c r="G292" s="240">
        <v>5202000</v>
      </c>
      <c r="H292" s="240">
        <v>5202000</v>
      </c>
      <c r="I292" s="240">
        <f>1929942.13-453.09</f>
        <v>1929489.0399999998</v>
      </c>
      <c r="J292" s="214">
        <f>195069+62626+10006.68+156084.76+20700+81956.19</f>
        <v>526442.63</v>
      </c>
      <c r="K292" s="192">
        <f t="shared" si="5"/>
        <v>27.284043551758142</v>
      </c>
    </row>
    <row r="293" spans="1:11" s="45" customFormat="1" ht="24.75" customHeight="1">
      <c r="A293" s="162" t="s">
        <v>271</v>
      </c>
      <c r="B293" s="44"/>
      <c r="C293" s="44"/>
      <c r="D293" s="44"/>
      <c r="E293" s="44"/>
      <c r="F293" s="44"/>
      <c r="G293" s="236">
        <v>555000</v>
      </c>
      <c r="H293" s="236">
        <f>61000+279760</f>
        <v>340760</v>
      </c>
      <c r="I293" s="215">
        <v>213658</v>
      </c>
      <c r="J293" s="214"/>
      <c r="K293" s="192">
        <f t="shared" si="5"/>
        <v>0</v>
      </c>
    </row>
    <row r="294" spans="1:11" s="45" customFormat="1" ht="25.5" customHeight="1">
      <c r="A294" s="162" t="s">
        <v>270</v>
      </c>
      <c r="B294" s="44"/>
      <c r="C294" s="44"/>
      <c r="D294" s="44"/>
      <c r="E294" s="44"/>
      <c r="F294" s="44"/>
      <c r="G294" s="240">
        <v>40000</v>
      </c>
      <c r="H294" s="240">
        <v>40000</v>
      </c>
      <c r="I294" s="213"/>
      <c r="J294" s="214"/>
      <c r="K294" s="192"/>
    </row>
    <row r="295" spans="1:11" s="45" customFormat="1" ht="34.5" customHeight="1">
      <c r="A295" s="162" t="s">
        <v>307</v>
      </c>
      <c r="B295" s="44"/>
      <c r="C295" s="44"/>
      <c r="D295" s="44"/>
      <c r="E295" s="44"/>
      <c r="F295" s="44"/>
      <c r="G295" s="236">
        <v>360000</v>
      </c>
      <c r="H295" s="236">
        <f>65000+102500</f>
        <v>167500</v>
      </c>
      <c r="I295" s="215">
        <v>51182</v>
      </c>
      <c r="J295" s="214"/>
      <c r="K295" s="192">
        <f t="shared" si="5"/>
        <v>0</v>
      </c>
    </row>
    <row r="296" spans="1:11" s="45" customFormat="1" ht="36" customHeight="1">
      <c r="A296" s="162" t="s">
        <v>312</v>
      </c>
      <c r="B296" s="44"/>
      <c r="C296" s="44"/>
      <c r="D296" s="44"/>
      <c r="E296" s="44"/>
      <c r="F296" s="44"/>
      <c r="G296" s="236">
        <v>345000</v>
      </c>
      <c r="H296" s="236">
        <f>40000+90000</f>
        <v>130000</v>
      </c>
      <c r="I296" s="215">
        <v>61970</v>
      </c>
      <c r="J296" s="214"/>
      <c r="K296" s="192">
        <f t="shared" si="5"/>
        <v>0</v>
      </c>
    </row>
    <row r="297" spans="1:11" s="45" customFormat="1" ht="18" customHeight="1">
      <c r="A297" s="188" t="s">
        <v>308</v>
      </c>
      <c r="B297" s="20"/>
      <c r="C297" s="20"/>
      <c r="D297" s="20"/>
      <c r="E297" s="20"/>
      <c r="F297" s="20"/>
      <c r="G297" s="236">
        <v>180000</v>
      </c>
      <c r="H297" s="236">
        <v>120000</v>
      </c>
      <c r="I297" s="215">
        <v>2069.76</v>
      </c>
      <c r="J297" s="214"/>
      <c r="K297" s="192">
        <f t="shared" si="5"/>
        <v>0</v>
      </c>
    </row>
    <row r="298" spans="1:11" s="45" customFormat="1" ht="18" customHeight="1">
      <c r="A298" s="188" t="s">
        <v>437</v>
      </c>
      <c r="B298" s="20"/>
      <c r="C298" s="20"/>
      <c r="D298" s="20"/>
      <c r="E298" s="20"/>
      <c r="F298" s="20"/>
      <c r="G298" s="236">
        <v>1500000</v>
      </c>
      <c r="H298" s="236">
        <v>1500000</v>
      </c>
      <c r="I298" s="215">
        <v>684008</v>
      </c>
      <c r="J298" s="214"/>
      <c r="K298" s="192">
        <f t="shared" si="5"/>
        <v>0</v>
      </c>
    </row>
    <row r="299" spans="1:11" s="21" customFormat="1" ht="24.75" customHeight="1">
      <c r="A299" s="168" t="s">
        <v>289</v>
      </c>
      <c r="B299" s="17"/>
      <c r="C299" s="17"/>
      <c r="D299" s="17"/>
      <c r="E299" s="17"/>
      <c r="F299" s="17"/>
      <c r="G299" s="236">
        <v>180000</v>
      </c>
      <c r="H299" s="236">
        <f>21630+69000</f>
        <v>90630</v>
      </c>
      <c r="I299" s="215">
        <v>207818.5</v>
      </c>
      <c r="J299" s="214"/>
      <c r="K299" s="192">
        <f t="shared" si="5"/>
        <v>0</v>
      </c>
    </row>
    <row r="300" spans="1:11" s="45" customFormat="1" ht="14.25" customHeight="1">
      <c r="A300" s="187" t="s">
        <v>47</v>
      </c>
      <c r="B300" s="44" t="s">
        <v>149</v>
      </c>
      <c r="C300" s="44" t="s">
        <v>82</v>
      </c>
      <c r="D300" s="44" t="s">
        <v>69</v>
      </c>
      <c r="E300" s="44" t="s">
        <v>48</v>
      </c>
      <c r="F300" s="44"/>
      <c r="G300" s="239">
        <f>G301</f>
        <v>470000</v>
      </c>
      <c r="H300" s="239">
        <f>H301</f>
        <v>85000</v>
      </c>
      <c r="I300" s="198">
        <f>I301</f>
        <v>25112</v>
      </c>
      <c r="J300" s="198">
        <f>J301</f>
        <v>25112</v>
      </c>
      <c r="K300" s="192">
        <f t="shared" si="5"/>
        <v>100</v>
      </c>
    </row>
    <row r="301" spans="1:11" s="45" customFormat="1" ht="24.75" customHeight="1">
      <c r="A301" s="19" t="s">
        <v>393</v>
      </c>
      <c r="B301" s="44"/>
      <c r="C301" s="44"/>
      <c r="D301" s="44"/>
      <c r="E301" s="44"/>
      <c r="F301" s="20" t="s">
        <v>394</v>
      </c>
      <c r="G301" s="236">
        <f>G302</f>
        <v>470000</v>
      </c>
      <c r="H301" s="236">
        <v>85000</v>
      </c>
      <c r="I301" s="215">
        <f>I302</f>
        <v>25112</v>
      </c>
      <c r="J301" s="215">
        <f>J302</f>
        <v>25112</v>
      </c>
      <c r="K301" s="192">
        <f t="shared" si="5"/>
        <v>100</v>
      </c>
    </row>
    <row r="302" spans="1:11" s="45" customFormat="1" ht="24" customHeight="1">
      <c r="A302" s="16" t="s">
        <v>92</v>
      </c>
      <c r="B302" s="44"/>
      <c r="C302" s="44"/>
      <c r="D302" s="44"/>
      <c r="E302" s="44"/>
      <c r="F302" s="44"/>
      <c r="G302" s="236">
        <v>470000</v>
      </c>
      <c r="H302" s="236">
        <f>42500+42500</f>
        <v>85000</v>
      </c>
      <c r="I302" s="215">
        <v>25112</v>
      </c>
      <c r="J302" s="214">
        <v>25112</v>
      </c>
      <c r="K302" s="192">
        <f t="shared" si="5"/>
        <v>100</v>
      </c>
    </row>
    <row r="303" spans="1:11" s="45" customFormat="1" ht="24" customHeight="1">
      <c r="A303" s="16" t="s">
        <v>447</v>
      </c>
      <c r="B303" s="44" t="s">
        <v>149</v>
      </c>
      <c r="C303" s="44" t="s">
        <v>448</v>
      </c>
      <c r="D303" s="44" t="s">
        <v>449</v>
      </c>
      <c r="E303" s="44"/>
      <c r="F303" s="44"/>
      <c r="G303" s="236"/>
      <c r="H303" s="236"/>
      <c r="I303" s="215">
        <v>-383117</v>
      </c>
      <c r="J303" s="214"/>
      <c r="K303" s="192">
        <f t="shared" si="5"/>
        <v>0</v>
      </c>
    </row>
    <row r="304" spans="1:11" s="45" customFormat="1" ht="39.75" customHeight="1">
      <c r="A304" s="10" t="s">
        <v>251</v>
      </c>
      <c r="B304" s="44" t="s">
        <v>149</v>
      </c>
      <c r="C304" s="44" t="s">
        <v>301</v>
      </c>
      <c r="D304" s="44" t="s">
        <v>255</v>
      </c>
      <c r="E304" s="44" t="s">
        <v>2</v>
      </c>
      <c r="F304" s="44"/>
      <c r="G304" s="235">
        <f>G305+G307+G312</f>
        <v>352171</v>
      </c>
      <c r="H304" s="235">
        <f>H305+H307+H312</f>
        <v>161084</v>
      </c>
      <c r="I304" s="235">
        <f>I305+I307+I312</f>
        <v>158386.24</v>
      </c>
      <c r="J304" s="235">
        <f>J305+J307+J312</f>
        <v>189110</v>
      </c>
      <c r="K304" s="192">
        <f t="shared" si="5"/>
        <v>119.39799820994551</v>
      </c>
    </row>
    <row r="305" spans="1:11" s="45" customFormat="1" ht="14.25" customHeight="1">
      <c r="A305" s="185" t="s">
        <v>4</v>
      </c>
      <c r="B305" s="14" t="s">
        <v>149</v>
      </c>
      <c r="C305" s="14" t="s">
        <v>301</v>
      </c>
      <c r="D305" s="14" t="s">
        <v>255</v>
      </c>
      <c r="E305" s="14" t="s">
        <v>5</v>
      </c>
      <c r="F305" s="44"/>
      <c r="G305" s="235">
        <f>G306+G311</f>
        <v>249371</v>
      </c>
      <c r="H305" s="235">
        <f>H306+H311</f>
        <v>124684</v>
      </c>
      <c r="I305" s="235">
        <f>I306+I311</f>
        <v>124536.24</v>
      </c>
      <c r="J305" s="235">
        <f>J306+J311</f>
        <v>189110</v>
      </c>
      <c r="K305" s="192">
        <f t="shared" si="5"/>
        <v>151.85138077077002</v>
      </c>
    </row>
    <row r="306" spans="1:11" s="45" customFormat="1" ht="15" customHeight="1">
      <c r="A306" s="118" t="s">
        <v>6</v>
      </c>
      <c r="B306" s="17" t="s">
        <v>149</v>
      </c>
      <c r="C306" s="17" t="s">
        <v>301</v>
      </c>
      <c r="D306" s="17" t="s">
        <v>255</v>
      </c>
      <c r="E306" s="17" t="s">
        <v>7</v>
      </c>
      <c r="F306" s="17" t="s">
        <v>396</v>
      </c>
      <c r="G306" s="240">
        <v>197600</v>
      </c>
      <c r="H306" s="240">
        <f>49400+49400</f>
        <v>98800</v>
      </c>
      <c r="I306" s="213">
        <v>98656</v>
      </c>
      <c r="J306" s="272">
        <v>149850</v>
      </c>
      <c r="K306" s="192">
        <f t="shared" si="5"/>
        <v>151.8914206941291</v>
      </c>
    </row>
    <row r="307" spans="1:11" s="45" customFormat="1" ht="15.75" customHeight="1">
      <c r="A307" s="118" t="s">
        <v>8</v>
      </c>
      <c r="B307" s="17" t="s">
        <v>149</v>
      </c>
      <c r="C307" s="17" t="s">
        <v>301</v>
      </c>
      <c r="D307" s="17" t="s">
        <v>255</v>
      </c>
      <c r="E307" s="17" t="s">
        <v>9</v>
      </c>
      <c r="F307" s="164"/>
      <c r="G307" s="240">
        <f>G308+G309+G310</f>
        <v>53800</v>
      </c>
      <c r="H307" s="240">
        <f>H308+H309+H310</f>
        <v>36400</v>
      </c>
      <c r="I307" s="240">
        <f>I308+I309+I310</f>
        <v>33850</v>
      </c>
      <c r="J307" s="273"/>
      <c r="K307" s="192">
        <f t="shared" si="5"/>
        <v>0</v>
      </c>
    </row>
    <row r="308" spans="1:11" s="45" customFormat="1" ht="15" customHeight="1">
      <c r="A308" s="11" t="s">
        <v>360</v>
      </c>
      <c r="B308" s="4"/>
      <c r="C308" s="4"/>
      <c r="D308" s="4"/>
      <c r="E308" s="4"/>
      <c r="F308" s="4" t="s">
        <v>398</v>
      </c>
      <c r="G308" s="240">
        <v>17400</v>
      </c>
      <c r="H308" s="240">
        <v>0</v>
      </c>
      <c r="I308" s="220"/>
      <c r="J308" s="219"/>
      <c r="K308" s="192"/>
    </row>
    <row r="309" spans="1:11" s="45" customFormat="1" ht="15" customHeight="1">
      <c r="A309" s="12" t="s">
        <v>343</v>
      </c>
      <c r="B309" s="4"/>
      <c r="C309" s="4"/>
      <c r="D309" s="4"/>
      <c r="E309" s="4"/>
      <c r="F309" s="4"/>
      <c r="G309" s="244"/>
      <c r="H309" s="244">
        <v>0</v>
      </c>
      <c r="I309" s="220"/>
      <c r="J309" s="219"/>
      <c r="K309" s="192"/>
    </row>
    <row r="310" spans="1:11" s="45" customFormat="1" ht="15.75" customHeight="1">
      <c r="A310" s="6" t="s">
        <v>361</v>
      </c>
      <c r="B310" s="4"/>
      <c r="C310" s="4"/>
      <c r="D310" s="4"/>
      <c r="E310" s="4"/>
      <c r="F310" s="4" t="s">
        <v>397</v>
      </c>
      <c r="G310" s="240">
        <v>36400</v>
      </c>
      <c r="H310" s="240">
        <v>36400</v>
      </c>
      <c r="I310" s="213">
        <v>33850</v>
      </c>
      <c r="J310" s="219"/>
      <c r="K310" s="192">
        <f t="shared" si="5"/>
        <v>0</v>
      </c>
    </row>
    <row r="311" spans="1:11" s="45" customFormat="1" ht="15" customHeight="1">
      <c r="A311" s="118" t="s">
        <v>13</v>
      </c>
      <c r="B311" s="17" t="s">
        <v>149</v>
      </c>
      <c r="C311" s="17" t="s">
        <v>301</v>
      </c>
      <c r="D311" s="17" t="s">
        <v>255</v>
      </c>
      <c r="E311" s="17" t="s">
        <v>14</v>
      </c>
      <c r="F311" s="17" t="s">
        <v>396</v>
      </c>
      <c r="G311" s="240">
        <v>51771</v>
      </c>
      <c r="H311" s="240">
        <f>12942+12942</f>
        <v>25884</v>
      </c>
      <c r="I311" s="213">
        <v>25880.24</v>
      </c>
      <c r="J311" s="214">
        <v>39260</v>
      </c>
      <c r="K311" s="192">
        <f t="shared" si="5"/>
        <v>151.6987477704998</v>
      </c>
    </row>
    <row r="312" spans="1:11" s="45" customFormat="1" ht="15" customHeight="1">
      <c r="A312" s="270" t="s">
        <v>442</v>
      </c>
      <c r="B312" s="164" t="s">
        <v>149</v>
      </c>
      <c r="C312" s="164" t="s">
        <v>301</v>
      </c>
      <c r="D312" s="164" t="s">
        <v>255</v>
      </c>
      <c r="E312" s="164" t="s">
        <v>16</v>
      </c>
      <c r="F312" s="17"/>
      <c r="G312" s="244">
        <f>G313+G314</f>
        <v>49000</v>
      </c>
      <c r="H312" s="240"/>
      <c r="I312" s="213"/>
      <c r="J312" s="214"/>
      <c r="K312" s="192"/>
    </row>
    <row r="313" spans="1:11" s="45" customFormat="1" ht="15" customHeight="1">
      <c r="A313" s="118" t="s">
        <v>444</v>
      </c>
      <c r="B313" s="17"/>
      <c r="C313" s="17"/>
      <c r="D313" s="17"/>
      <c r="E313" s="17" t="s">
        <v>19</v>
      </c>
      <c r="F313" s="17" t="s">
        <v>443</v>
      </c>
      <c r="G313" s="240">
        <v>23000</v>
      </c>
      <c r="H313" s="240"/>
      <c r="I313" s="213"/>
      <c r="J313" s="214"/>
      <c r="K313" s="192"/>
    </row>
    <row r="314" spans="1:11" s="45" customFormat="1" ht="15" customHeight="1">
      <c r="A314" s="118" t="s">
        <v>37</v>
      </c>
      <c r="B314" s="17"/>
      <c r="C314" s="17"/>
      <c r="D314" s="17"/>
      <c r="E314" s="17" t="s">
        <v>38</v>
      </c>
      <c r="F314" s="17" t="s">
        <v>400</v>
      </c>
      <c r="G314" s="240">
        <v>26000</v>
      </c>
      <c r="H314" s="240"/>
      <c r="I314" s="213"/>
      <c r="J314" s="214"/>
      <c r="K314" s="192"/>
    </row>
    <row r="315" spans="1:11" s="45" customFormat="1" ht="15" customHeight="1">
      <c r="A315" s="270" t="s">
        <v>438</v>
      </c>
      <c r="B315" s="17"/>
      <c r="C315" s="17"/>
      <c r="D315" s="17"/>
      <c r="E315" s="17"/>
      <c r="F315" s="17"/>
      <c r="G315" s="244">
        <f>G316</f>
        <v>135600</v>
      </c>
      <c r="H315" s="244">
        <f>H316</f>
        <v>135600</v>
      </c>
      <c r="I315" s="244">
        <f>I316</f>
        <v>121692.85</v>
      </c>
      <c r="J315" s="244">
        <f>J316</f>
        <v>0</v>
      </c>
      <c r="K315" s="192">
        <f t="shared" si="5"/>
        <v>0</v>
      </c>
    </row>
    <row r="316" spans="1:11" s="45" customFormat="1" ht="15" customHeight="1">
      <c r="A316" s="118" t="s">
        <v>439</v>
      </c>
      <c r="B316" s="17" t="s">
        <v>149</v>
      </c>
      <c r="C316" s="17" t="s">
        <v>301</v>
      </c>
      <c r="D316" s="17" t="s">
        <v>255</v>
      </c>
      <c r="E316" s="17" t="s">
        <v>5</v>
      </c>
      <c r="F316" s="17" t="s">
        <v>369</v>
      </c>
      <c r="G316" s="240">
        <f>G317+G318</f>
        <v>135600</v>
      </c>
      <c r="H316" s="240">
        <f>H317+H318</f>
        <v>135600</v>
      </c>
      <c r="I316" s="240">
        <f>I317+I318</f>
        <v>121692.85</v>
      </c>
      <c r="J316" s="240">
        <f>J317+J318</f>
        <v>0</v>
      </c>
      <c r="K316" s="192">
        <f t="shared" si="5"/>
        <v>0</v>
      </c>
    </row>
    <row r="317" spans="1:11" s="45" customFormat="1" ht="15" customHeight="1">
      <c r="A317" s="118" t="s">
        <v>441</v>
      </c>
      <c r="B317" s="17"/>
      <c r="C317" s="17"/>
      <c r="D317" s="17"/>
      <c r="E317" s="17" t="s">
        <v>7</v>
      </c>
      <c r="F317" s="17"/>
      <c r="G317" s="240">
        <v>105200</v>
      </c>
      <c r="H317" s="240">
        <v>105200</v>
      </c>
      <c r="I317" s="213">
        <v>105036.69</v>
      </c>
      <c r="J317" s="272"/>
      <c r="K317" s="192">
        <f t="shared" si="5"/>
        <v>0</v>
      </c>
    </row>
    <row r="318" spans="1:11" s="45" customFormat="1" ht="15" customHeight="1">
      <c r="A318" s="118" t="s">
        <v>440</v>
      </c>
      <c r="B318" s="17"/>
      <c r="C318" s="17"/>
      <c r="D318" s="17"/>
      <c r="E318" s="17" t="s">
        <v>14</v>
      </c>
      <c r="F318" s="17"/>
      <c r="G318" s="240">
        <v>30400</v>
      </c>
      <c r="H318" s="240">
        <v>30400</v>
      </c>
      <c r="I318" s="213">
        <v>16656.16</v>
      </c>
      <c r="J318" s="272"/>
      <c r="K318" s="192">
        <f t="shared" si="5"/>
        <v>0</v>
      </c>
    </row>
    <row r="319" spans="1:11" s="45" customFormat="1" ht="17.25" customHeight="1">
      <c r="A319" s="47" t="s">
        <v>297</v>
      </c>
      <c r="B319" s="82" t="s">
        <v>298</v>
      </c>
      <c r="C319" s="82" t="s">
        <v>88</v>
      </c>
      <c r="D319" s="82" t="s">
        <v>2</v>
      </c>
      <c r="E319" s="82"/>
      <c r="F319" s="82"/>
      <c r="G319" s="238">
        <f>G320+G323</f>
        <v>1494387</v>
      </c>
      <c r="H319" s="238">
        <f>H320</f>
        <v>908198</v>
      </c>
      <c r="I319" s="238">
        <f>I320</f>
        <v>850498</v>
      </c>
      <c r="J319" s="238">
        <f>J320</f>
        <v>1032570.6</v>
      </c>
      <c r="K319" s="192">
        <f t="shared" si="5"/>
        <v>121.40776345153076</v>
      </c>
    </row>
    <row r="320" spans="1:11" s="45" customFormat="1" ht="23.25" customHeight="1">
      <c r="A320" s="16" t="s">
        <v>299</v>
      </c>
      <c r="B320" s="44" t="s">
        <v>300</v>
      </c>
      <c r="C320" s="44" t="s">
        <v>301</v>
      </c>
      <c r="D320" s="44" t="s">
        <v>302</v>
      </c>
      <c r="E320" s="44" t="s">
        <v>2</v>
      </c>
      <c r="F320" s="44"/>
      <c r="G320" s="241">
        <f>G321+G322</f>
        <v>1172387</v>
      </c>
      <c r="H320" s="241">
        <f>H321+H322+H323</f>
        <v>908198</v>
      </c>
      <c r="I320" s="241">
        <f>I321+I322+I323</f>
        <v>850498</v>
      </c>
      <c r="J320" s="241">
        <f>J321+J322+J323</f>
        <v>1032570.6</v>
      </c>
      <c r="K320" s="192">
        <f t="shared" si="5"/>
        <v>121.40776345153076</v>
      </c>
    </row>
    <row r="321" spans="1:11" s="45" customFormat="1" ht="19.5" customHeight="1">
      <c r="A321" s="19" t="s">
        <v>6</v>
      </c>
      <c r="B321" s="20" t="s">
        <v>300</v>
      </c>
      <c r="C321" s="20" t="s">
        <v>301</v>
      </c>
      <c r="D321" s="20" t="s">
        <v>302</v>
      </c>
      <c r="E321" s="20" t="s">
        <v>7</v>
      </c>
      <c r="F321" s="20" t="s">
        <v>395</v>
      </c>
      <c r="G321" s="242">
        <v>929000</v>
      </c>
      <c r="H321" s="242">
        <f>232250+232250</f>
        <v>464500</v>
      </c>
      <c r="I321" s="215">
        <v>464500</v>
      </c>
      <c r="J321" s="272">
        <f>728785.6-150000</f>
        <v>578785.6</v>
      </c>
      <c r="K321" s="192">
        <f t="shared" si="5"/>
        <v>124.60400430570506</v>
      </c>
    </row>
    <row r="322" spans="1:11" s="45" customFormat="1" ht="19.5" customHeight="1">
      <c r="A322" s="19" t="s">
        <v>13</v>
      </c>
      <c r="B322" s="20" t="s">
        <v>300</v>
      </c>
      <c r="C322" s="20" t="s">
        <v>301</v>
      </c>
      <c r="D322" s="20" t="s">
        <v>302</v>
      </c>
      <c r="E322" s="20" t="s">
        <v>14</v>
      </c>
      <c r="F322" s="20" t="s">
        <v>395</v>
      </c>
      <c r="G322" s="242">
        <v>243387</v>
      </c>
      <c r="H322" s="242">
        <f>60849+60849</f>
        <v>121698</v>
      </c>
      <c r="I322" s="215">
        <v>121698</v>
      </c>
      <c r="J322" s="272">
        <f>189485-39300</f>
        <v>150185</v>
      </c>
      <c r="K322" s="192">
        <f t="shared" si="5"/>
        <v>123.40794425545202</v>
      </c>
    </row>
    <row r="323" spans="1:11" s="45" customFormat="1" ht="19.5" customHeight="1">
      <c r="A323" s="270" t="s">
        <v>438</v>
      </c>
      <c r="B323" s="20"/>
      <c r="C323" s="20"/>
      <c r="D323" s="20"/>
      <c r="E323" s="20"/>
      <c r="F323" s="20"/>
      <c r="G323" s="243">
        <f>G324</f>
        <v>322000</v>
      </c>
      <c r="H323" s="243">
        <f>H324</f>
        <v>322000</v>
      </c>
      <c r="I323" s="243">
        <f>I324</f>
        <v>264300</v>
      </c>
      <c r="J323" s="243">
        <f>J324</f>
        <v>303600</v>
      </c>
      <c r="K323" s="192">
        <f t="shared" si="5"/>
        <v>114.8694665153235</v>
      </c>
    </row>
    <row r="324" spans="1:11" s="45" customFormat="1" ht="19.5" customHeight="1">
      <c r="A324" s="118" t="s">
        <v>439</v>
      </c>
      <c r="B324" s="20" t="s">
        <v>300</v>
      </c>
      <c r="C324" s="20" t="s">
        <v>301</v>
      </c>
      <c r="D324" s="20" t="s">
        <v>302</v>
      </c>
      <c r="E324" s="17" t="s">
        <v>5</v>
      </c>
      <c r="F324" s="20" t="s">
        <v>369</v>
      </c>
      <c r="G324" s="242">
        <f>G325+G326+G327</f>
        <v>322000</v>
      </c>
      <c r="H324" s="242">
        <f>H325+H326+H327</f>
        <v>322000</v>
      </c>
      <c r="I324" s="242">
        <f>I325+I326+I327</f>
        <v>264300</v>
      </c>
      <c r="J324" s="242">
        <f>J325+J326+J327</f>
        <v>303600</v>
      </c>
      <c r="K324" s="192">
        <f t="shared" si="5"/>
        <v>114.8694665153235</v>
      </c>
    </row>
    <row r="325" spans="1:11" s="45" customFormat="1" ht="19.5" customHeight="1">
      <c r="A325" s="118" t="s">
        <v>441</v>
      </c>
      <c r="B325" s="20"/>
      <c r="C325" s="20"/>
      <c r="D325" s="20"/>
      <c r="E325" s="20" t="s">
        <v>7</v>
      </c>
      <c r="F325" s="20"/>
      <c r="G325" s="242">
        <v>152000</v>
      </c>
      <c r="H325" s="242">
        <v>152000</v>
      </c>
      <c r="I325" s="215">
        <v>150000</v>
      </c>
      <c r="J325" s="272">
        <v>150000</v>
      </c>
      <c r="K325" s="192">
        <f t="shared" si="5"/>
        <v>100</v>
      </c>
    </row>
    <row r="326" spans="1:11" s="45" customFormat="1" ht="19.5" customHeight="1">
      <c r="A326" s="118" t="s">
        <v>440</v>
      </c>
      <c r="B326" s="20"/>
      <c r="C326" s="20"/>
      <c r="D326" s="20"/>
      <c r="E326" s="20" t="s">
        <v>14</v>
      </c>
      <c r="F326" s="20"/>
      <c r="G326" s="242">
        <v>40000</v>
      </c>
      <c r="H326" s="242">
        <v>40000</v>
      </c>
      <c r="I326" s="215"/>
      <c r="J326" s="272">
        <v>39300</v>
      </c>
      <c r="K326" s="192"/>
    </row>
    <row r="327" spans="1:11" s="45" customFormat="1" ht="19.5" customHeight="1">
      <c r="A327" s="6" t="s">
        <v>361</v>
      </c>
      <c r="B327" s="20"/>
      <c r="C327" s="20"/>
      <c r="D327" s="20"/>
      <c r="E327" s="20" t="s">
        <v>9</v>
      </c>
      <c r="F327" s="20"/>
      <c r="G327" s="242">
        <v>130000</v>
      </c>
      <c r="H327" s="242">
        <v>130000</v>
      </c>
      <c r="I327" s="215">
        <v>114300</v>
      </c>
      <c r="J327" s="214">
        <v>114300</v>
      </c>
      <c r="K327" s="192">
        <f t="shared" si="5"/>
        <v>100</v>
      </c>
    </row>
    <row r="328" spans="1:11" s="45" customFormat="1" ht="26.25" customHeight="1">
      <c r="A328" s="47" t="s">
        <v>250</v>
      </c>
      <c r="B328" s="82" t="s">
        <v>252</v>
      </c>
      <c r="C328" s="82" t="s">
        <v>88</v>
      </c>
      <c r="D328" s="82"/>
      <c r="E328" s="82"/>
      <c r="F328" s="82"/>
      <c r="G328" s="238">
        <f>G329</f>
        <v>795850</v>
      </c>
      <c r="H328" s="238">
        <f>H329</f>
        <v>417930</v>
      </c>
      <c r="I328" s="238">
        <f>I329</f>
        <v>2831.3</v>
      </c>
      <c r="J328" s="238">
        <f>J329</f>
        <v>2831.3</v>
      </c>
      <c r="K328" s="192">
        <f t="shared" si="5"/>
        <v>100</v>
      </c>
    </row>
    <row r="329" spans="1:11" s="45" customFormat="1" ht="39.75" customHeight="1">
      <c r="A329" s="10" t="s">
        <v>260</v>
      </c>
      <c r="B329" s="44" t="s">
        <v>150</v>
      </c>
      <c r="C329" s="44" t="s">
        <v>113</v>
      </c>
      <c r="D329" s="44" t="s">
        <v>2</v>
      </c>
      <c r="E329" s="44"/>
      <c r="F329" s="44"/>
      <c r="G329" s="243">
        <f aca="true" t="shared" si="7" ref="G329:J331">G330</f>
        <v>795850</v>
      </c>
      <c r="H329" s="243">
        <f t="shared" si="7"/>
        <v>417930</v>
      </c>
      <c r="I329" s="243">
        <f t="shared" si="7"/>
        <v>2831.3</v>
      </c>
      <c r="J329" s="243">
        <f t="shared" si="7"/>
        <v>2831.3</v>
      </c>
      <c r="K329" s="192">
        <f t="shared" si="5"/>
        <v>100</v>
      </c>
    </row>
    <row r="330" spans="1:11" s="68" customFormat="1" ht="57.75" customHeight="1">
      <c r="A330" s="149" t="s">
        <v>114</v>
      </c>
      <c r="B330" s="70" t="s">
        <v>150</v>
      </c>
      <c r="C330" s="88" t="s">
        <v>113</v>
      </c>
      <c r="D330" s="88" t="s">
        <v>43</v>
      </c>
      <c r="E330" s="88" t="s">
        <v>2</v>
      </c>
      <c r="F330" s="88"/>
      <c r="G330" s="247">
        <f t="shared" si="7"/>
        <v>795850</v>
      </c>
      <c r="H330" s="247">
        <f t="shared" si="7"/>
        <v>417930</v>
      </c>
      <c r="I330" s="247">
        <f t="shared" si="7"/>
        <v>2831.3</v>
      </c>
      <c r="J330" s="247">
        <f t="shared" si="7"/>
        <v>2831.3</v>
      </c>
      <c r="K330" s="192">
        <f t="shared" si="5"/>
        <v>100</v>
      </c>
    </row>
    <row r="331" spans="1:11" s="68" customFormat="1" ht="12.75" customHeight="1">
      <c r="A331" s="152" t="s">
        <v>15</v>
      </c>
      <c r="B331" s="153" t="s">
        <v>150</v>
      </c>
      <c r="C331" s="153" t="s">
        <v>113</v>
      </c>
      <c r="D331" s="153" t="s">
        <v>43</v>
      </c>
      <c r="E331" s="153" t="s">
        <v>16</v>
      </c>
      <c r="F331" s="156"/>
      <c r="G331" s="248">
        <f t="shared" si="7"/>
        <v>795850</v>
      </c>
      <c r="H331" s="248">
        <f t="shared" si="7"/>
        <v>417930</v>
      </c>
      <c r="I331" s="248">
        <f t="shared" si="7"/>
        <v>2831.3</v>
      </c>
      <c r="J331" s="248">
        <f t="shared" si="7"/>
        <v>2831.3</v>
      </c>
      <c r="K331" s="192">
        <f aca="true" t="shared" si="8" ref="K331:K394">J331*100/I331</f>
        <v>100</v>
      </c>
    </row>
    <row r="332" spans="1:11" s="68" customFormat="1" ht="14.25" customHeight="1">
      <c r="A332" s="154" t="s">
        <v>37</v>
      </c>
      <c r="B332" s="153" t="s">
        <v>150</v>
      </c>
      <c r="C332" s="153" t="s">
        <v>113</v>
      </c>
      <c r="D332" s="153" t="s">
        <v>43</v>
      </c>
      <c r="E332" s="153" t="s">
        <v>38</v>
      </c>
      <c r="F332" s="150"/>
      <c r="G332" s="248">
        <f>G333</f>
        <v>795850</v>
      </c>
      <c r="H332" s="248">
        <f>H333</f>
        <v>417930</v>
      </c>
      <c r="I332" s="248">
        <f>I333+I334</f>
        <v>2831.3</v>
      </c>
      <c r="J332" s="248">
        <f>J333+J334</f>
        <v>2831.3</v>
      </c>
      <c r="K332" s="192">
        <f t="shared" si="8"/>
        <v>100</v>
      </c>
    </row>
    <row r="333" spans="1:11" s="21" customFormat="1" ht="25.5" customHeight="1">
      <c r="A333" s="12" t="s">
        <v>407</v>
      </c>
      <c r="B333" s="20"/>
      <c r="C333" s="20"/>
      <c r="D333" s="20"/>
      <c r="E333" s="20"/>
      <c r="F333" s="153" t="s">
        <v>391</v>
      </c>
      <c r="G333" s="236">
        <v>795850</v>
      </c>
      <c r="H333" s="236">
        <f>191465+226465</f>
        <v>417930</v>
      </c>
      <c r="I333" s="215"/>
      <c r="J333" s="214"/>
      <c r="K333" s="192"/>
    </row>
    <row r="334" spans="1:11" s="21" customFormat="1" ht="24" customHeight="1">
      <c r="A334" s="168" t="s">
        <v>304</v>
      </c>
      <c r="B334" s="14"/>
      <c r="C334" s="14"/>
      <c r="D334" s="14"/>
      <c r="E334" s="14"/>
      <c r="F334" s="153" t="s">
        <v>391</v>
      </c>
      <c r="G334" s="249">
        <v>350000</v>
      </c>
      <c r="H334" s="249">
        <f>80000+115000</f>
        <v>195000</v>
      </c>
      <c r="I334" s="202">
        <v>2831.3</v>
      </c>
      <c r="J334" s="214">
        <v>2831.3</v>
      </c>
      <c r="K334" s="192">
        <f t="shared" si="8"/>
        <v>100</v>
      </c>
    </row>
    <row r="335" spans="1:11" s="15" customFormat="1" ht="14.25" customHeight="1">
      <c r="A335" s="47" t="s">
        <v>62</v>
      </c>
      <c r="B335" s="48" t="s">
        <v>151</v>
      </c>
      <c r="C335" s="48" t="s">
        <v>88</v>
      </c>
      <c r="D335" s="48" t="s">
        <v>2</v>
      </c>
      <c r="E335" s="48"/>
      <c r="F335" s="48"/>
      <c r="G335" s="238">
        <f>G336</f>
        <v>819680</v>
      </c>
      <c r="H335" s="238">
        <f>H336</f>
        <v>709840</v>
      </c>
      <c r="I335" s="238">
        <f>I336</f>
        <v>554624.8200000001</v>
      </c>
      <c r="J335" s="238">
        <f>J336</f>
        <v>359932.79</v>
      </c>
      <c r="K335" s="192">
        <f t="shared" si="8"/>
        <v>64.89662507350464</v>
      </c>
    </row>
    <row r="336" spans="1:11" s="45" customFormat="1" ht="25.5" customHeight="1">
      <c r="A336" s="43" t="s">
        <v>63</v>
      </c>
      <c r="B336" s="44" t="s">
        <v>152</v>
      </c>
      <c r="C336" s="44" t="s">
        <v>88</v>
      </c>
      <c r="D336" s="44" t="s">
        <v>2</v>
      </c>
      <c r="E336" s="44"/>
      <c r="F336" s="44"/>
      <c r="G336" s="239">
        <f>SUM(,G340)+G338</f>
        <v>819680</v>
      </c>
      <c r="H336" s="239">
        <f>SUM(,H340)+H338</f>
        <v>709840</v>
      </c>
      <c r="I336" s="239">
        <f>I337+I340</f>
        <v>554624.8200000001</v>
      </c>
      <c r="J336" s="239">
        <f>J337+J340</f>
        <v>359932.79</v>
      </c>
      <c r="K336" s="192">
        <f t="shared" si="8"/>
        <v>64.89662507350464</v>
      </c>
    </row>
    <row r="337" spans="1:11" s="45" customFormat="1" ht="26.25" customHeight="1">
      <c r="A337" s="43" t="s">
        <v>117</v>
      </c>
      <c r="B337" s="44" t="s">
        <v>152</v>
      </c>
      <c r="C337" s="44" t="s">
        <v>118</v>
      </c>
      <c r="D337" s="44" t="s">
        <v>119</v>
      </c>
      <c r="E337" s="44"/>
      <c r="F337" s="44"/>
      <c r="G337" s="239">
        <v>600000</v>
      </c>
      <c r="H337" s="239">
        <f>H338</f>
        <v>600000</v>
      </c>
      <c r="I337" s="239">
        <f>I338</f>
        <v>524129.4</v>
      </c>
      <c r="J337" s="239">
        <f>J338</f>
        <v>298558.5</v>
      </c>
      <c r="K337" s="192">
        <f t="shared" si="8"/>
        <v>56.96274622259312</v>
      </c>
    </row>
    <row r="338" spans="1:11" s="45" customFormat="1" ht="26.25" customHeight="1">
      <c r="A338" s="43" t="s">
        <v>37</v>
      </c>
      <c r="B338" s="44" t="s">
        <v>152</v>
      </c>
      <c r="C338" s="44" t="s">
        <v>118</v>
      </c>
      <c r="D338" s="44" t="s">
        <v>119</v>
      </c>
      <c r="E338" s="44" t="s">
        <v>38</v>
      </c>
      <c r="F338" s="44" t="s">
        <v>382</v>
      </c>
      <c r="G338" s="239">
        <v>600000</v>
      </c>
      <c r="H338" s="239">
        <v>600000</v>
      </c>
      <c r="I338" s="198">
        <v>524129.4</v>
      </c>
      <c r="J338" s="197">
        <v>298558.5</v>
      </c>
      <c r="K338" s="192">
        <f t="shared" si="8"/>
        <v>56.96274622259312</v>
      </c>
    </row>
    <row r="339" spans="1:11" s="45" customFormat="1" ht="15" customHeight="1">
      <c r="A339" s="43" t="s">
        <v>120</v>
      </c>
      <c r="B339" s="44" t="s">
        <v>152</v>
      </c>
      <c r="C339" s="44" t="s">
        <v>118</v>
      </c>
      <c r="D339" s="44" t="s">
        <v>69</v>
      </c>
      <c r="E339" s="44" t="s">
        <v>2</v>
      </c>
      <c r="F339" s="44"/>
      <c r="G339" s="239">
        <f>SUM(G341:G346)</f>
        <v>219680</v>
      </c>
      <c r="H339" s="239">
        <f>SUM(H341:H346)</f>
        <v>109840</v>
      </c>
      <c r="I339" s="239">
        <f>SUM(I341:I346)</f>
        <v>30495.42</v>
      </c>
      <c r="J339" s="239">
        <f>SUM(J341:J346)</f>
        <v>61374.29</v>
      </c>
      <c r="K339" s="192">
        <f t="shared" si="8"/>
        <v>201.25740193117525</v>
      </c>
    </row>
    <row r="340" spans="1:11" s="15" customFormat="1" ht="16.5" customHeight="1">
      <c r="A340" s="10" t="s">
        <v>4</v>
      </c>
      <c r="B340" s="14" t="s">
        <v>152</v>
      </c>
      <c r="C340" s="14" t="s">
        <v>201</v>
      </c>
      <c r="D340" s="14" t="s">
        <v>69</v>
      </c>
      <c r="E340" s="14" t="s">
        <v>5</v>
      </c>
      <c r="F340" s="14"/>
      <c r="G340" s="235">
        <f>SUM(G341,G342,G346)</f>
        <v>219680</v>
      </c>
      <c r="H340" s="235">
        <f>SUM(H341,H342,H346)</f>
        <v>109840</v>
      </c>
      <c r="I340" s="235">
        <f>SUM(I341,I342,I346)</f>
        <v>30495.42</v>
      </c>
      <c r="J340" s="235">
        <f>SUM(J341,J342,J346)</f>
        <v>61374.29</v>
      </c>
      <c r="K340" s="192">
        <f t="shared" si="8"/>
        <v>201.25740193117525</v>
      </c>
    </row>
    <row r="341" spans="1:11" s="18" customFormat="1" ht="15.75" customHeight="1">
      <c r="A341" s="16" t="s">
        <v>6</v>
      </c>
      <c r="B341" s="27" t="s">
        <v>152</v>
      </c>
      <c r="C341" s="27" t="s">
        <v>201</v>
      </c>
      <c r="D341" s="27" t="s">
        <v>69</v>
      </c>
      <c r="E341" s="17" t="s">
        <v>7</v>
      </c>
      <c r="F341" s="17" t="s">
        <v>369</v>
      </c>
      <c r="G341" s="240">
        <v>174072</v>
      </c>
      <c r="H341" s="240">
        <f>43518+43518</f>
        <v>87036</v>
      </c>
      <c r="I341" s="213">
        <v>7691.42</v>
      </c>
      <c r="J341" s="272">
        <f>58512.29+1149.33</f>
        <v>59661.62</v>
      </c>
      <c r="K341" s="192">
        <f t="shared" si="8"/>
        <v>775.6905746923195</v>
      </c>
    </row>
    <row r="342" spans="1:11" s="18" customFormat="1" ht="22.5" customHeight="1" hidden="1">
      <c r="A342" s="16" t="s">
        <v>8</v>
      </c>
      <c r="B342" s="27" t="s">
        <v>152</v>
      </c>
      <c r="C342" s="27" t="s">
        <v>201</v>
      </c>
      <c r="D342" s="27" t="s">
        <v>119</v>
      </c>
      <c r="E342" s="17" t="s">
        <v>9</v>
      </c>
      <c r="F342" s="17"/>
      <c r="G342" s="240"/>
      <c r="H342" s="240">
        <v>0</v>
      </c>
      <c r="I342" s="213"/>
      <c r="J342" s="274">
        <f>G342-I342</f>
        <v>0</v>
      </c>
      <c r="K342" s="192" t="e">
        <f t="shared" si="8"/>
        <v>#DIV/0!</v>
      </c>
    </row>
    <row r="343" spans="1:11" ht="1.5" customHeight="1" hidden="1">
      <c r="A343" s="11" t="s">
        <v>10</v>
      </c>
      <c r="B343" s="4"/>
      <c r="C343" s="4"/>
      <c r="D343" s="4"/>
      <c r="E343" s="4"/>
      <c r="F343" s="4"/>
      <c r="G343" s="250"/>
      <c r="H343" s="250">
        <v>0</v>
      </c>
      <c r="I343" s="199"/>
      <c r="J343" s="274">
        <f>G343-I343</f>
        <v>0</v>
      </c>
      <c r="K343" s="192" t="e">
        <f t="shared" si="8"/>
        <v>#DIV/0!</v>
      </c>
    </row>
    <row r="344" spans="1:11" ht="21" customHeight="1" hidden="1">
      <c r="A344" s="12" t="s">
        <v>11</v>
      </c>
      <c r="B344" s="4"/>
      <c r="C344" s="4"/>
      <c r="D344" s="4"/>
      <c r="E344" s="4"/>
      <c r="F344" s="4"/>
      <c r="G344" s="250"/>
      <c r="H344" s="250">
        <v>0</v>
      </c>
      <c r="I344" s="199"/>
      <c r="J344" s="274">
        <f>G344-I344</f>
        <v>0</v>
      </c>
      <c r="K344" s="192" t="e">
        <f t="shared" si="8"/>
        <v>#DIV/0!</v>
      </c>
    </row>
    <row r="345" spans="1:11" ht="24" customHeight="1" hidden="1">
      <c r="A345" s="6" t="s">
        <v>12</v>
      </c>
      <c r="B345" s="4"/>
      <c r="C345" s="4"/>
      <c r="D345" s="4"/>
      <c r="E345" s="4"/>
      <c r="F345" s="4" t="s">
        <v>184</v>
      </c>
      <c r="G345" s="250"/>
      <c r="H345" s="250">
        <v>0</v>
      </c>
      <c r="I345" s="199"/>
      <c r="J345" s="274">
        <f>G345-I345</f>
        <v>0</v>
      </c>
      <c r="K345" s="192" t="e">
        <f t="shared" si="8"/>
        <v>#DIV/0!</v>
      </c>
    </row>
    <row r="346" spans="1:11" s="18" customFormat="1" ht="15" customHeight="1">
      <c r="A346" s="16" t="s">
        <v>13</v>
      </c>
      <c r="B346" s="27" t="s">
        <v>152</v>
      </c>
      <c r="C346" s="27" t="s">
        <v>201</v>
      </c>
      <c r="D346" s="27" t="s">
        <v>69</v>
      </c>
      <c r="E346" s="17" t="s">
        <v>14</v>
      </c>
      <c r="F346" s="17" t="s">
        <v>369</v>
      </c>
      <c r="G346" s="240">
        <v>45608</v>
      </c>
      <c r="H346" s="240">
        <f>11402+11402</f>
        <v>22804</v>
      </c>
      <c r="I346" s="213">
        <v>22804</v>
      </c>
      <c r="J346" s="272">
        <f>1411.55+301.12</f>
        <v>1712.67</v>
      </c>
      <c r="K346" s="192">
        <f t="shared" si="8"/>
        <v>7.510392913523943</v>
      </c>
    </row>
    <row r="347" spans="1:11" s="18" customFormat="1" ht="27.75" customHeight="1" hidden="1">
      <c r="A347" s="10" t="s">
        <v>15</v>
      </c>
      <c r="B347" s="44" t="s">
        <v>152</v>
      </c>
      <c r="C347" s="44" t="s">
        <v>201</v>
      </c>
      <c r="D347" s="44" t="s">
        <v>119</v>
      </c>
      <c r="E347" s="14" t="s">
        <v>16</v>
      </c>
      <c r="F347" s="14"/>
      <c r="G347" s="240"/>
      <c r="H347" s="240"/>
      <c r="I347" s="213"/>
      <c r="J347" s="186"/>
      <c r="K347" s="192" t="e">
        <f t="shared" si="8"/>
        <v>#DIV/0!</v>
      </c>
    </row>
    <row r="348" spans="1:11" s="18" customFormat="1" ht="21" customHeight="1" hidden="1">
      <c r="A348" s="16" t="s">
        <v>17</v>
      </c>
      <c r="B348" s="27" t="s">
        <v>152</v>
      </c>
      <c r="C348" s="27" t="s">
        <v>201</v>
      </c>
      <c r="D348" s="27" t="s">
        <v>119</v>
      </c>
      <c r="E348" s="17" t="s">
        <v>18</v>
      </c>
      <c r="F348" s="17"/>
      <c r="G348" s="240"/>
      <c r="H348" s="240"/>
      <c r="I348" s="213"/>
      <c r="J348" s="186"/>
      <c r="K348" s="192" t="e">
        <f t="shared" si="8"/>
        <v>#DIV/0!</v>
      </c>
    </row>
    <row r="349" spans="1:11" s="18" customFormat="1" ht="28.5" customHeight="1" hidden="1">
      <c r="A349" s="16" t="s">
        <v>21</v>
      </c>
      <c r="B349" s="27" t="s">
        <v>152</v>
      </c>
      <c r="C349" s="27" t="s">
        <v>201</v>
      </c>
      <c r="D349" s="27" t="s">
        <v>119</v>
      </c>
      <c r="E349" s="17" t="s">
        <v>19</v>
      </c>
      <c r="F349" s="17"/>
      <c r="G349" s="240"/>
      <c r="H349" s="240"/>
      <c r="I349" s="213"/>
      <c r="J349" s="186"/>
      <c r="K349" s="192" t="e">
        <f t="shared" si="8"/>
        <v>#DIV/0!</v>
      </c>
    </row>
    <row r="350" spans="1:11" s="18" customFormat="1" ht="30" customHeight="1" hidden="1">
      <c r="A350" s="11" t="s">
        <v>20</v>
      </c>
      <c r="B350" s="4"/>
      <c r="C350" s="4"/>
      <c r="D350" s="4"/>
      <c r="E350" s="4"/>
      <c r="F350" s="4" t="s">
        <v>183</v>
      </c>
      <c r="G350" s="240"/>
      <c r="H350" s="240"/>
      <c r="I350" s="213"/>
      <c r="J350" s="186"/>
      <c r="K350" s="192" t="e">
        <f t="shared" si="8"/>
        <v>#DIV/0!</v>
      </c>
    </row>
    <row r="351" spans="1:11" s="21" customFormat="1" ht="12.75" hidden="1">
      <c r="A351" s="19"/>
      <c r="B351" s="20"/>
      <c r="C351" s="20"/>
      <c r="D351" s="20"/>
      <c r="E351" s="20"/>
      <c r="F351" s="20"/>
      <c r="G351" s="236"/>
      <c r="H351" s="236"/>
      <c r="I351" s="215"/>
      <c r="J351" s="214"/>
      <c r="K351" s="192" t="e">
        <f t="shared" si="8"/>
        <v>#DIV/0!</v>
      </c>
    </row>
    <row r="352" spans="1:11" s="15" customFormat="1" ht="12.75">
      <c r="A352" s="159" t="s">
        <v>64</v>
      </c>
      <c r="B352" s="48" t="s">
        <v>153</v>
      </c>
      <c r="C352" s="48" t="s">
        <v>88</v>
      </c>
      <c r="D352" s="48" t="s">
        <v>2</v>
      </c>
      <c r="E352" s="48"/>
      <c r="F352" s="48"/>
      <c r="G352" s="238">
        <f>G365+G368+G366+G370+G371+G367+G369</f>
        <v>9395336.46</v>
      </c>
      <c r="H352" s="238">
        <f>H365+H368+H366+H370+H371+H367+H369</f>
        <v>4043452.5599999996</v>
      </c>
      <c r="I352" s="238">
        <f>I365+I368+I366+I370+I371+I367+I369</f>
        <v>1758362.51</v>
      </c>
      <c r="J352" s="238">
        <f>J365+J368+J366+J370+J371+J367+J369</f>
        <v>2044357.1400000004</v>
      </c>
      <c r="K352" s="192">
        <f t="shared" si="8"/>
        <v>116.26482755253923</v>
      </c>
    </row>
    <row r="353" spans="1:11" s="45" customFormat="1" ht="12.75" hidden="1">
      <c r="A353" s="43" t="s">
        <v>65</v>
      </c>
      <c r="B353" s="44" t="s">
        <v>154</v>
      </c>
      <c r="C353" s="44" t="s">
        <v>88</v>
      </c>
      <c r="D353" s="44" t="s">
        <v>2</v>
      </c>
      <c r="E353" s="44"/>
      <c r="F353" s="44"/>
      <c r="G353" s="239"/>
      <c r="H353" s="239"/>
      <c r="I353" s="198"/>
      <c r="J353" s="197"/>
      <c r="K353" s="192" t="e">
        <f t="shared" si="8"/>
        <v>#DIV/0!</v>
      </c>
    </row>
    <row r="354" spans="1:11" s="68" customFormat="1" ht="12.75" hidden="1">
      <c r="A354" s="66" t="s">
        <v>121</v>
      </c>
      <c r="B354" s="50" t="s">
        <v>154</v>
      </c>
      <c r="C354" s="50" t="s">
        <v>122</v>
      </c>
      <c r="D354" s="50" t="s">
        <v>2</v>
      </c>
      <c r="E354" s="50"/>
      <c r="F354" s="50"/>
      <c r="G354" s="247"/>
      <c r="H354" s="247"/>
      <c r="I354" s="226"/>
      <c r="J354" s="225"/>
      <c r="K354" s="192" t="e">
        <f t="shared" si="8"/>
        <v>#DIV/0!</v>
      </c>
    </row>
    <row r="355" spans="1:11" s="45" customFormat="1" ht="12.75" hidden="1">
      <c r="A355" s="43" t="s">
        <v>217</v>
      </c>
      <c r="B355" s="44" t="s">
        <v>154</v>
      </c>
      <c r="C355" s="44" t="s">
        <v>122</v>
      </c>
      <c r="D355" s="44" t="s">
        <v>123</v>
      </c>
      <c r="E355" s="44"/>
      <c r="F355" s="44"/>
      <c r="G355" s="239"/>
      <c r="H355" s="239"/>
      <c r="I355" s="198"/>
      <c r="J355" s="197"/>
      <c r="K355" s="192" t="e">
        <f t="shared" si="8"/>
        <v>#DIV/0!</v>
      </c>
    </row>
    <row r="356" spans="1:11" s="45" customFormat="1" ht="25.5" hidden="1">
      <c r="A356" s="43" t="s">
        <v>213</v>
      </c>
      <c r="B356" s="44" t="s">
        <v>154</v>
      </c>
      <c r="C356" s="44" t="s">
        <v>122</v>
      </c>
      <c r="D356" s="44" t="s">
        <v>123</v>
      </c>
      <c r="E356" s="44" t="s">
        <v>212</v>
      </c>
      <c r="F356" s="44"/>
      <c r="G356" s="239"/>
      <c r="H356" s="239"/>
      <c r="I356" s="198"/>
      <c r="J356" s="197"/>
      <c r="K356" s="192" t="e">
        <f t="shared" si="8"/>
        <v>#DIV/0!</v>
      </c>
    </row>
    <row r="357" spans="1:11" s="21" customFormat="1" ht="25.5" hidden="1">
      <c r="A357" s="19" t="s">
        <v>216</v>
      </c>
      <c r="B357" s="20" t="s">
        <v>154</v>
      </c>
      <c r="C357" s="20" t="s">
        <v>122</v>
      </c>
      <c r="D357" s="20" t="s">
        <v>123</v>
      </c>
      <c r="E357" s="20" t="s">
        <v>211</v>
      </c>
      <c r="F357" s="20"/>
      <c r="G357" s="236"/>
      <c r="H357" s="236"/>
      <c r="I357" s="215"/>
      <c r="J357" s="214"/>
      <c r="K357" s="192" t="e">
        <f t="shared" si="8"/>
        <v>#DIV/0!</v>
      </c>
    </row>
    <row r="358" spans="1:11" s="45" customFormat="1" ht="12.75" hidden="1">
      <c r="A358" s="43" t="s">
        <v>42</v>
      </c>
      <c r="B358" s="44" t="s">
        <v>154</v>
      </c>
      <c r="C358" s="44" t="s">
        <v>122</v>
      </c>
      <c r="D358" s="44" t="s">
        <v>123</v>
      </c>
      <c r="E358" s="44" t="s">
        <v>43</v>
      </c>
      <c r="F358" s="44"/>
      <c r="G358" s="239"/>
      <c r="H358" s="239"/>
      <c r="I358" s="198"/>
      <c r="J358" s="197"/>
      <c r="K358" s="192" t="e">
        <f t="shared" si="8"/>
        <v>#DIV/0!</v>
      </c>
    </row>
    <row r="359" spans="1:11" s="21" customFormat="1" ht="12.75" hidden="1">
      <c r="A359" s="19" t="s">
        <v>44</v>
      </c>
      <c r="B359" s="20" t="s">
        <v>154</v>
      </c>
      <c r="C359" s="20" t="s">
        <v>122</v>
      </c>
      <c r="D359" s="20" t="s">
        <v>123</v>
      </c>
      <c r="E359" s="20" t="s">
        <v>45</v>
      </c>
      <c r="F359" s="20"/>
      <c r="G359" s="236"/>
      <c r="H359" s="236"/>
      <c r="I359" s="215"/>
      <c r="J359" s="214"/>
      <c r="K359" s="192" t="e">
        <f t="shared" si="8"/>
        <v>#DIV/0!</v>
      </c>
    </row>
    <row r="360" spans="1:11" s="21" customFormat="1" ht="25.5" hidden="1">
      <c r="A360" s="19" t="s">
        <v>214</v>
      </c>
      <c r="B360" s="20"/>
      <c r="C360" s="20"/>
      <c r="D360" s="20"/>
      <c r="E360" s="20"/>
      <c r="F360" s="20" t="s">
        <v>210</v>
      </c>
      <c r="G360" s="236"/>
      <c r="H360" s="236"/>
      <c r="I360" s="215"/>
      <c r="J360" s="214"/>
      <c r="K360" s="192" t="e">
        <f t="shared" si="8"/>
        <v>#DIV/0!</v>
      </c>
    </row>
    <row r="361" spans="1:11" s="45" customFormat="1" ht="38.25" hidden="1">
      <c r="A361" s="43" t="s">
        <v>218</v>
      </c>
      <c r="B361" s="44" t="s">
        <v>154</v>
      </c>
      <c r="C361" s="44" t="s">
        <v>122</v>
      </c>
      <c r="D361" s="44" t="s">
        <v>215</v>
      </c>
      <c r="E361" s="44"/>
      <c r="F361" s="44"/>
      <c r="G361" s="239"/>
      <c r="H361" s="239"/>
      <c r="I361" s="198"/>
      <c r="J361" s="197"/>
      <c r="K361" s="192" t="e">
        <f t="shared" si="8"/>
        <v>#DIV/0!</v>
      </c>
    </row>
    <row r="362" spans="1:11" s="45" customFormat="1" ht="25.5" hidden="1">
      <c r="A362" s="43" t="s">
        <v>213</v>
      </c>
      <c r="B362" s="44" t="s">
        <v>154</v>
      </c>
      <c r="C362" s="44" t="s">
        <v>122</v>
      </c>
      <c r="D362" s="44" t="s">
        <v>215</v>
      </c>
      <c r="E362" s="44" t="s">
        <v>212</v>
      </c>
      <c r="F362" s="44"/>
      <c r="G362" s="239"/>
      <c r="H362" s="239"/>
      <c r="I362" s="198"/>
      <c r="J362" s="197"/>
      <c r="K362" s="192" t="e">
        <f t="shared" si="8"/>
        <v>#DIV/0!</v>
      </c>
    </row>
    <row r="363" spans="1:11" s="21" customFormat="1" ht="25.5" hidden="1">
      <c r="A363" s="19" t="s">
        <v>216</v>
      </c>
      <c r="B363" s="20" t="s">
        <v>154</v>
      </c>
      <c r="C363" s="20" t="s">
        <v>122</v>
      </c>
      <c r="D363" s="20" t="s">
        <v>215</v>
      </c>
      <c r="E363" s="20" t="s">
        <v>211</v>
      </c>
      <c r="F363" s="20"/>
      <c r="G363" s="236"/>
      <c r="H363" s="236"/>
      <c r="I363" s="215"/>
      <c r="J363" s="214"/>
      <c r="K363" s="192" t="e">
        <f t="shared" si="8"/>
        <v>#DIV/0!</v>
      </c>
    </row>
    <row r="364" spans="1:11" s="21" customFormat="1" ht="12.75" hidden="1">
      <c r="A364" s="19"/>
      <c r="B364" s="20"/>
      <c r="C364" s="20"/>
      <c r="D364" s="20"/>
      <c r="E364" s="20"/>
      <c r="F364" s="20"/>
      <c r="G364" s="236"/>
      <c r="H364" s="236"/>
      <c r="I364" s="215"/>
      <c r="J364" s="214"/>
      <c r="K364" s="192" t="e">
        <f t="shared" si="8"/>
        <v>#DIV/0!</v>
      </c>
    </row>
    <row r="365" spans="1:11" s="45" customFormat="1" ht="63.75">
      <c r="A365" s="16" t="s">
        <v>417</v>
      </c>
      <c r="B365" s="17" t="s">
        <v>155</v>
      </c>
      <c r="C365" s="17" t="s">
        <v>220</v>
      </c>
      <c r="D365" s="17" t="s">
        <v>418</v>
      </c>
      <c r="E365" s="29" t="s">
        <v>211</v>
      </c>
      <c r="F365" s="20" t="s">
        <v>401</v>
      </c>
      <c r="G365" s="251">
        <f>662978.16+543737.6</f>
        <v>1206715.76</v>
      </c>
      <c r="H365" s="251">
        <f>251720.33+107794.03</f>
        <v>359514.36</v>
      </c>
      <c r="I365" s="229">
        <v>166491.18</v>
      </c>
      <c r="J365" s="214">
        <f>712493.56+2831.3+2831.3+2831.3</f>
        <v>720987.4600000002</v>
      </c>
      <c r="K365" s="192">
        <f t="shared" si="8"/>
        <v>433.048441364882</v>
      </c>
    </row>
    <row r="366" spans="1:11" s="45" customFormat="1" ht="63.75">
      <c r="A366" s="16" t="s">
        <v>419</v>
      </c>
      <c r="B366" s="17" t="s">
        <v>155</v>
      </c>
      <c r="C366" s="17" t="s">
        <v>420</v>
      </c>
      <c r="D366" s="17" t="s">
        <v>421</v>
      </c>
      <c r="E366" s="29" t="s">
        <v>211</v>
      </c>
      <c r="F366" s="20" t="s">
        <v>401</v>
      </c>
      <c r="G366" s="251">
        <f>11640.8+9403.5</f>
        <v>21044.3</v>
      </c>
      <c r="H366" s="251">
        <f>2910.2+2910.2</f>
        <v>5820.4</v>
      </c>
      <c r="I366" s="229"/>
      <c r="J366" s="214">
        <v>28339.26</v>
      </c>
      <c r="K366" s="192"/>
    </row>
    <row r="367" spans="1:11" s="45" customFormat="1" ht="12.75">
      <c r="A367" s="16" t="s">
        <v>332</v>
      </c>
      <c r="B367" s="17" t="s">
        <v>154</v>
      </c>
      <c r="C367" s="17" t="s">
        <v>122</v>
      </c>
      <c r="D367" s="17" t="s">
        <v>215</v>
      </c>
      <c r="E367" s="29" t="s">
        <v>31</v>
      </c>
      <c r="F367" s="20" t="s">
        <v>402</v>
      </c>
      <c r="G367" s="236">
        <v>12000</v>
      </c>
      <c r="H367" s="236">
        <v>12000</v>
      </c>
      <c r="I367" s="215"/>
      <c r="J367" s="214"/>
      <c r="K367" s="192"/>
    </row>
    <row r="368" spans="1:11" s="45" customFormat="1" ht="25.5">
      <c r="A368" s="19" t="s">
        <v>422</v>
      </c>
      <c r="B368" s="20" t="s">
        <v>155</v>
      </c>
      <c r="C368" s="20" t="s">
        <v>423</v>
      </c>
      <c r="D368" s="20" t="s">
        <v>85</v>
      </c>
      <c r="E368" s="20" t="s">
        <v>211</v>
      </c>
      <c r="F368" s="20" t="s">
        <v>369</v>
      </c>
      <c r="G368" s="236">
        <f>6945488.4</f>
        <v>6945488.4</v>
      </c>
      <c r="H368" s="236">
        <f>753905+2273212.8</f>
        <v>3027117.8</v>
      </c>
      <c r="I368" s="269">
        <v>1591542.33</v>
      </c>
      <c r="J368" s="214">
        <f>913034.75+2283.1+2831.3+6155+4246.95+2831.3+26577.29+6770.5+19763.7+6155+19055.88+6770.5+28555.15</f>
        <v>1045030.42</v>
      </c>
      <c r="K368" s="192">
        <f t="shared" si="8"/>
        <v>65.66149076286271</v>
      </c>
    </row>
    <row r="369" spans="1:11" s="45" customFormat="1" ht="12.75">
      <c r="A369" s="19" t="s">
        <v>424</v>
      </c>
      <c r="B369" s="20" t="s">
        <v>155</v>
      </c>
      <c r="C369" s="20" t="s">
        <v>423</v>
      </c>
      <c r="D369" s="20" t="s">
        <v>425</v>
      </c>
      <c r="E369" s="20" t="s">
        <v>211</v>
      </c>
      <c r="F369" s="20" t="s">
        <v>369</v>
      </c>
      <c r="G369" s="236">
        <v>182088</v>
      </c>
      <c r="H369" s="236"/>
      <c r="I369" s="269"/>
      <c r="J369" s="214"/>
      <c r="K369" s="192"/>
    </row>
    <row r="370" spans="1:11" s="45" customFormat="1" ht="51">
      <c r="A370" s="19" t="s">
        <v>426</v>
      </c>
      <c r="B370" s="20" t="s">
        <v>155</v>
      </c>
      <c r="C370" s="20" t="s">
        <v>423</v>
      </c>
      <c r="D370" s="20" t="s">
        <v>427</v>
      </c>
      <c r="E370" s="20" t="s">
        <v>211</v>
      </c>
      <c r="F370" s="20" t="s">
        <v>369</v>
      </c>
      <c r="G370" s="236">
        <v>250000</v>
      </c>
      <c r="H370" s="236">
        <v>250000</v>
      </c>
      <c r="I370" s="264"/>
      <c r="J370" s="214">
        <v>250000</v>
      </c>
      <c r="K370" s="192"/>
    </row>
    <row r="371" spans="1:11" s="45" customFormat="1" ht="12.75">
      <c r="A371" s="19" t="s">
        <v>428</v>
      </c>
      <c r="B371" s="20" t="s">
        <v>155</v>
      </c>
      <c r="C371" s="20" t="s">
        <v>423</v>
      </c>
      <c r="D371" s="20" t="s">
        <v>429</v>
      </c>
      <c r="E371" s="20" t="s">
        <v>211</v>
      </c>
      <c r="F371" s="20" t="s">
        <v>369</v>
      </c>
      <c r="G371" s="236">
        <v>778000</v>
      </c>
      <c r="H371" s="236">
        <v>389000</v>
      </c>
      <c r="I371" s="215">
        <v>329</v>
      </c>
      <c r="J371" s="214"/>
      <c r="K371" s="192">
        <f t="shared" si="8"/>
        <v>0</v>
      </c>
    </row>
    <row r="372" spans="1:11" s="15" customFormat="1" ht="12.75" hidden="1">
      <c r="A372" s="23" t="s">
        <v>67</v>
      </c>
      <c r="B372" s="24" t="s">
        <v>156</v>
      </c>
      <c r="C372" s="24"/>
      <c r="D372" s="24"/>
      <c r="E372" s="24"/>
      <c r="F372" s="24"/>
      <c r="G372" s="235"/>
      <c r="H372" s="235"/>
      <c r="I372" s="196"/>
      <c r="J372" s="211"/>
      <c r="K372" s="192" t="e">
        <f t="shared" si="8"/>
        <v>#DIV/0!</v>
      </c>
    </row>
    <row r="373" spans="1:11" s="15" customFormat="1" ht="12.75" hidden="1">
      <c r="A373" s="23" t="s">
        <v>68</v>
      </c>
      <c r="B373" s="24" t="s">
        <v>157</v>
      </c>
      <c r="C373" s="24" t="s">
        <v>142</v>
      </c>
      <c r="D373" s="24" t="s">
        <v>69</v>
      </c>
      <c r="E373" s="24"/>
      <c r="F373" s="24"/>
      <c r="G373" s="235"/>
      <c r="H373" s="235"/>
      <c r="I373" s="196"/>
      <c r="J373" s="211"/>
      <c r="K373" s="192" t="e">
        <f t="shared" si="8"/>
        <v>#DIV/0!</v>
      </c>
    </row>
    <row r="374" spans="1:11" s="45" customFormat="1" ht="14.25" customHeight="1" hidden="1">
      <c r="A374" s="43" t="s">
        <v>4</v>
      </c>
      <c r="B374" s="44" t="s">
        <v>157</v>
      </c>
      <c r="C374" s="44" t="s">
        <v>142</v>
      </c>
      <c r="D374" s="44" t="s">
        <v>69</v>
      </c>
      <c r="E374" s="44" t="s">
        <v>5</v>
      </c>
      <c r="F374" s="44"/>
      <c r="G374" s="239"/>
      <c r="H374" s="239"/>
      <c r="I374" s="198"/>
      <c r="J374" s="197"/>
      <c r="K374" s="192" t="e">
        <f t="shared" si="8"/>
        <v>#DIV/0!</v>
      </c>
    </row>
    <row r="375" spans="1:11" s="21" customFormat="1" ht="12.75" hidden="1">
      <c r="A375" s="16" t="s">
        <v>6</v>
      </c>
      <c r="B375" s="27" t="s">
        <v>157</v>
      </c>
      <c r="C375" s="27" t="s">
        <v>142</v>
      </c>
      <c r="D375" s="27" t="s">
        <v>69</v>
      </c>
      <c r="E375" s="17" t="s">
        <v>7</v>
      </c>
      <c r="F375" s="17"/>
      <c r="G375" s="236"/>
      <c r="H375" s="236"/>
      <c r="I375" s="215"/>
      <c r="J375" s="214"/>
      <c r="K375" s="192" t="e">
        <f t="shared" si="8"/>
        <v>#DIV/0!</v>
      </c>
    </row>
    <row r="376" spans="1:11" s="21" customFormat="1" ht="12.75" hidden="1">
      <c r="A376" s="16" t="s">
        <v>8</v>
      </c>
      <c r="B376" s="27" t="s">
        <v>157</v>
      </c>
      <c r="C376" s="27" t="s">
        <v>142</v>
      </c>
      <c r="D376" s="27" t="s">
        <v>69</v>
      </c>
      <c r="E376" s="17" t="s">
        <v>9</v>
      </c>
      <c r="F376" s="17"/>
      <c r="G376" s="236"/>
      <c r="H376" s="236"/>
      <c r="I376" s="215"/>
      <c r="J376" s="214"/>
      <c r="K376" s="192" t="e">
        <f t="shared" si="8"/>
        <v>#DIV/0!</v>
      </c>
    </row>
    <row r="377" spans="1:11" s="21" customFormat="1" ht="25.5" hidden="1">
      <c r="A377" s="11" t="s">
        <v>10</v>
      </c>
      <c r="B377" s="4"/>
      <c r="C377" s="4"/>
      <c r="D377" s="4"/>
      <c r="E377" s="4"/>
      <c r="F377" s="4" t="s">
        <v>183</v>
      </c>
      <c r="G377" s="236"/>
      <c r="H377" s="236"/>
      <c r="I377" s="215"/>
      <c r="J377" s="214"/>
      <c r="K377" s="192" t="e">
        <f t="shared" si="8"/>
        <v>#DIV/0!</v>
      </c>
    </row>
    <row r="378" spans="1:11" s="21" customFormat="1" ht="12.75" customHeight="1" hidden="1">
      <c r="A378" s="12" t="s">
        <v>11</v>
      </c>
      <c r="B378" s="4"/>
      <c r="C378" s="4"/>
      <c r="D378" s="4"/>
      <c r="E378" s="4"/>
      <c r="F378" s="4" t="s">
        <v>200</v>
      </c>
      <c r="G378" s="236"/>
      <c r="H378" s="236"/>
      <c r="I378" s="215"/>
      <c r="J378" s="214"/>
      <c r="K378" s="192" t="e">
        <f t="shared" si="8"/>
        <v>#DIV/0!</v>
      </c>
    </row>
    <row r="379" spans="1:11" s="30" customFormat="1" ht="12.75" hidden="1">
      <c r="A379" s="65" t="s">
        <v>130</v>
      </c>
      <c r="B379" s="29"/>
      <c r="C379" s="29"/>
      <c r="D379" s="29"/>
      <c r="E379" s="29"/>
      <c r="F379" s="29" t="s">
        <v>199</v>
      </c>
      <c r="G379" s="254"/>
      <c r="H379" s="254"/>
      <c r="I379" s="205"/>
      <c r="J379" s="212"/>
      <c r="K379" s="192" t="e">
        <f t="shared" si="8"/>
        <v>#DIV/0!</v>
      </c>
    </row>
    <row r="380" spans="1:11" s="21" customFormat="1" ht="25.5" hidden="1">
      <c r="A380" s="6" t="s">
        <v>12</v>
      </c>
      <c r="B380" s="4"/>
      <c r="C380" s="4"/>
      <c r="D380" s="4"/>
      <c r="E380" s="4"/>
      <c r="F380" s="4" t="s">
        <v>184</v>
      </c>
      <c r="G380" s="236"/>
      <c r="H380" s="236"/>
      <c r="I380" s="215"/>
      <c r="J380" s="214"/>
      <c r="K380" s="192" t="e">
        <f t="shared" si="8"/>
        <v>#DIV/0!</v>
      </c>
    </row>
    <row r="381" spans="1:11" s="21" customFormat="1" ht="12.75" hidden="1">
      <c r="A381" s="16" t="s">
        <v>13</v>
      </c>
      <c r="B381" s="27" t="s">
        <v>157</v>
      </c>
      <c r="C381" s="27" t="s">
        <v>142</v>
      </c>
      <c r="D381" s="27" t="s">
        <v>69</v>
      </c>
      <c r="E381" s="17" t="s">
        <v>14</v>
      </c>
      <c r="F381" s="17"/>
      <c r="G381" s="236"/>
      <c r="H381" s="236"/>
      <c r="I381" s="215"/>
      <c r="J381" s="214"/>
      <c r="K381" s="192" t="e">
        <f t="shared" si="8"/>
        <v>#DIV/0!</v>
      </c>
    </row>
    <row r="382" spans="1:11" s="45" customFormat="1" ht="12.75" hidden="1">
      <c r="A382" s="43" t="s">
        <v>15</v>
      </c>
      <c r="B382" s="44" t="s">
        <v>157</v>
      </c>
      <c r="C382" s="44" t="s">
        <v>142</v>
      </c>
      <c r="D382" s="44" t="s">
        <v>69</v>
      </c>
      <c r="E382" s="44" t="s">
        <v>16</v>
      </c>
      <c r="F382" s="44"/>
      <c r="G382" s="239"/>
      <c r="H382" s="239"/>
      <c r="I382" s="198"/>
      <c r="J382" s="197"/>
      <c r="K382" s="192" t="e">
        <f t="shared" si="8"/>
        <v>#DIV/0!</v>
      </c>
    </row>
    <row r="383" spans="1:11" s="21" customFormat="1" ht="12.75" hidden="1">
      <c r="A383" s="16" t="s">
        <v>17</v>
      </c>
      <c r="B383" s="27" t="s">
        <v>157</v>
      </c>
      <c r="C383" s="27" t="s">
        <v>142</v>
      </c>
      <c r="D383" s="27" t="s">
        <v>69</v>
      </c>
      <c r="E383" s="17" t="s">
        <v>18</v>
      </c>
      <c r="F383" s="17"/>
      <c r="G383" s="236"/>
      <c r="H383" s="236"/>
      <c r="I383" s="215"/>
      <c r="J383" s="214"/>
      <c r="K383" s="192" t="e">
        <f t="shared" si="8"/>
        <v>#DIV/0!</v>
      </c>
    </row>
    <row r="384" spans="1:11" s="21" customFormat="1" ht="12.75" hidden="1">
      <c r="A384" s="16" t="s">
        <v>21</v>
      </c>
      <c r="B384" s="27" t="s">
        <v>157</v>
      </c>
      <c r="C384" s="27" t="s">
        <v>142</v>
      </c>
      <c r="D384" s="27" t="s">
        <v>69</v>
      </c>
      <c r="E384" s="17" t="s">
        <v>19</v>
      </c>
      <c r="F384" s="17"/>
      <c r="G384" s="236"/>
      <c r="H384" s="236"/>
      <c r="I384" s="215"/>
      <c r="J384" s="214"/>
      <c r="K384" s="192" t="e">
        <f t="shared" si="8"/>
        <v>#DIV/0!</v>
      </c>
    </row>
    <row r="385" spans="1:11" s="21" customFormat="1" ht="25.5" hidden="1">
      <c r="A385" s="11" t="s">
        <v>20</v>
      </c>
      <c r="B385" s="4"/>
      <c r="C385" s="4"/>
      <c r="D385" s="4"/>
      <c r="E385" s="4"/>
      <c r="F385" s="4" t="s">
        <v>183</v>
      </c>
      <c r="G385" s="236"/>
      <c r="H385" s="236"/>
      <c r="I385" s="215"/>
      <c r="J385" s="214"/>
      <c r="K385" s="192" t="e">
        <f t="shared" si="8"/>
        <v>#DIV/0!</v>
      </c>
    </row>
    <row r="386" spans="1:11" s="21" customFormat="1" ht="38.25" hidden="1">
      <c r="A386" s="8" t="s">
        <v>22</v>
      </c>
      <c r="B386" s="4"/>
      <c r="C386" s="4"/>
      <c r="D386" s="4"/>
      <c r="E386" s="4"/>
      <c r="F386" s="4" t="s">
        <v>185</v>
      </c>
      <c r="G386" s="236"/>
      <c r="H386" s="236"/>
      <c r="I386" s="215"/>
      <c r="J386" s="214"/>
      <c r="K386" s="192" t="e">
        <f t="shared" si="8"/>
        <v>#DIV/0!</v>
      </c>
    </row>
    <row r="387" spans="1:11" s="21" customFormat="1" ht="12.75" hidden="1">
      <c r="A387" s="16" t="s">
        <v>23</v>
      </c>
      <c r="B387" s="27" t="s">
        <v>157</v>
      </c>
      <c r="C387" s="27" t="s">
        <v>142</v>
      </c>
      <c r="D387" s="27" t="s">
        <v>69</v>
      </c>
      <c r="E387" s="17" t="s">
        <v>24</v>
      </c>
      <c r="F387" s="17"/>
      <c r="G387" s="236"/>
      <c r="H387" s="236"/>
      <c r="I387" s="215"/>
      <c r="J387" s="214"/>
      <c r="K387" s="192" t="e">
        <f t="shared" si="8"/>
        <v>#DIV/0!</v>
      </c>
    </row>
    <row r="388" spans="1:11" s="21" customFormat="1" ht="25.5" hidden="1">
      <c r="A388" s="7" t="s">
        <v>25</v>
      </c>
      <c r="B388" s="4"/>
      <c r="C388" s="4"/>
      <c r="D388" s="4"/>
      <c r="E388" s="4"/>
      <c r="F388" s="4" t="s">
        <v>186</v>
      </c>
      <c r="G388" s="236"/>
      <c r="H388" s="236"/>
      <c r="I388" s="215"/>
      <c r="J388" s="214"/>
      <c r="K388" s="192" t="e">
        <f t="shared" si="8"/>
        <v>#DIV/0!</v>
      </c>
    </row>
    <row r="389" spans="1:11" s="21" customFormat="1" ht="25.5" hidden="1">
      <c r="A389" s="7" t="s">
        <v>26</v>
      </c>
      <c r="B389" s="4"/>
      <c r="C389" s="4"/>
      <c r="D389" s="4"/>
      <c r="E389" s="4"/>
      <c r="F389" s="4" t="s">
        <v>187</v>
      </c>
      <c r="G389" s="236"/>
      <c r="H389" s="236"/>
      <c r="I389" s="215"/>
      <c r="J389" s="214"/>
      <c r="K389" s="192" t="e">
        <f t="shared" si="8"/>
        <v>#DIV/0!</v>
      </c>
    </row>
    <row r="390" spans="1:11" s="21" customFormat="1" ht="12.75" hidden="1">
      <c r="A390" s="7" t="s">
        <v>27</v>
      </c>
      <c r="B390" s="4"/>
      <c r="C390" s="4"/>
      <c r="D390" s="4"/>
      <c r="E390" s="4"/>
      <c r="F390" s="4" t="s">
        <v>188</v>
      </c>
      <c r="G390" s="236"/>
      <c r="H390" s="236"/>
      <c r="I390" s="215"/>
      <c r="J390" s="214"/>
      <c r="K390" s="192" t="e">
        <f t="shared" si="8"/>
        <v>#DIV/0!</v>
      </c>
    </row>
    <row r="391" spans="1:11" s="21" customFormat="1" ht="13.5" customHeight="1" hidden="1">
      <c r="A391" s="16" t="s">
        <v>28</v>
      </c>
      <c r="B391" s="27" t="s">
        <v>157</v>
      </c>
      <c r="C391" s="27" t="s">
        <v>142</v>
      </c>
      <c r="D391" s="27" t="s">
        <v>69</v>
      </c>
      <c r="E391" s="17" t="s">
        <v>29</v>
      </c>
      <c r="F391" s="17"/>
      <c r="G391" s="236"/>
      <c r="H391" s="236"/>
      <c r="I391" s="215"/>
      <c r="J391" s="214"/>
      <c r="K391" s="192" t="e">
        <f t="shared" si="8"/>
        <v>#DIV/0!</v>
      </c>
    </row>
    <row r="392" spans="1:11" s="21" customFormat="1" ht="12.75" hidden="1">
      <c r="A392" s="16" t="s">
        <v>30</v>
      </c>
      <c r="B392" s="27" t="s">
        <v>157</v>
      </c>
      <c r="C392" s="27" t="s">
        <v>142</v>
      </c>
      <c r="D392" s="27" t="s">
        <v>69</v>
      </c>
      <c r="E392" s="17" t="s">
        <v>31</v>
      </c>
      <c r="F392" s="17"/>
      <c r="G392" s="236"/>
      <c r="H392" s="236"/>
      <c r="I392" s="215"/>
      <c r="J392" s="214"/>
      <c r="K392" s="192" t="e">
        <f t="shared" si="8"/>
        <v>#DIV/0!</v>
      </c>
    </row>
    <row r="393" spans="1:11" s="21" customFormat="1" ht="12.75" hidden="1">
      <c r="A393" s="7" t="s">
        <v>32</v>
      </c>
      <c r="B393" s="17"/>
      <c r="C393" s="17"/>
      <c r="D393" s="17"/>
      <c r="E393" s="17"/>
      <c r="F393" s="17" t="s">
        <v>189</v>
      </c>
      <c r="G393" s="236"/>
      <c r="H393" s="236"/>
      <c r="I393" s="215"/>
      <c r="J393" s="214"/>
      <c r="K393" s="192" t="e">
        <f t="shared" si="8"/>
        <v>#DIV/0!</v>
      </c>
    </row>
    <row r="394" spans="1:11" s="21" customFormat="1" ht="12.75" hidden="1">
      <c r="A394" s="7" t="s">
        <v>33</v>
      </c>
      <c r="B394" s="17"/>
      <c r="C394" s="17"/>
      <c r="D394" s="17"/>
      <c r="E394" s="17"/>
      <c r="F394" s="17" t="s">
        <v>191</v>
      </c>
      <c r="G394" s="236"/>
      <c r="H394" s="236"/>
      <c r="I394" s="215"/>
      <c r="J394" s="214"/>
      <c r="K394" s="192" t="e">
        <f t="shared" si="8"/>
        <v>#DIV/0!</v>
      </c>
    </row>
    <row r="395" spans="1:11" s="21" customFormat="1" ht="25.5" hidden="1">
      <c r="A395" s="7" t="s">
        <v>34</v>
      </c>
      <c r="B395" s="17"/>
      <c r="C395" s="17"/>
      <c r="D395" s="17"/>
      <c r="E395" s="17"/>
      <c r="F395" s="17" t="s">
        <v>221</v>
      </c>
      <c r="G395" s="236"/>
      <c r="H395" s="236"/>
      <c r="I395" s="215"/>
      <c r="J395" s="214"/>
      <c r="K395" s="192" t="e">
        <f aca="true" t="shared" si="9" ref="K395:K458">J395*100/I395</f>
        <v>#DIV/0!</v>
      </c>
    </row>
    <row r="396" spans="1:11" s="21" customFormat="1" ht="25.5" hidden="1">
      <c r="A396" s="7" t="s">
        <v>35</v>
      </c>
      <c r="B396" s="17"/>
      <c r="C396" s="17"/>
      <c r="D396" s="17"/>
      <c r="E396" s="17"/>
      <c r="F396" s="17" t="s">
        <v>190</v>
      </c>
      <c r="G396" s="236"/>
      <c r="H396" s="236"/>
      <c r="I396" s="215"/>
      <c r="J396" s="214"/>
      <c r="K396" s="192" t="e">
        <f t="shared" si="9"/>
        <v>#DIV/0!</v>
      </c>
    </row>
    <row r="397" spans="1:11" s="21" customFormat="1" ht="51" hidden="1">
      <c r="A397" s="7" t="s">
        <v>36</v>
      </c>
      <c r="B397" s="17"/>
      <c r="C397" s="17"/>
      <c r="D397" s="17"/>
      <c r="E397" s="17"/>
      <c r="F397" s="17" t="s">
        <v>190</v>
      </c>
      <c r="G397" s="236"/>
      <c r="H397" s="236"/>
      <c r="I397" s="215"/>
      <c r="J397" s="214"/>
      <c r="K397" s="192" t="e">
        <f t="shared" si="9"/>
        <v>#DIV/0!</v>
      </c>
    </row>
    <row r="398" spans="1:11" s="21" customFormat="1" ht="12.75" hidden="1">
      <c r="A398" s="16" t="s">
        <v>37</v>
      </c>
      <c r="B398" s="27" t="s">
        <v>157</v>
      </c>
      <c r="C398" s="27" t="s">
        <v>142</v>
      </c>
      <c r="D398" s="27" t="s">
        <v>69</v>
      </c>
      <c r="E398" s="17" t="s">
        <v>38</v>
      </c>
      <c r="F398" s="17"/>
      <c r="G398" s="236"/>
      <c r="H398" s="236"/>
      <c r="I398" s="215"/>
      <c r="J398" s="214"/>
      <c r="K398" s="192" t="e">
        <f t="shared" si="9"/>
        <v>#DIV/0!</v>
      </c>
    </row>
    <row r="399" spans="1:11" s="21" customFormat="1" ht="38.25" hidden="1">
      <c r="A399" s="11" t="s">
        <v>39</v>
      </c>
      <c r="B399" s="20"/>
      <c r="C399" s="20"/>
      <c r="D399" s="20"/>
      <c r="E399" s="20"/>
      <c r="F399" s="20" t="s">
        <v>183</v>
      </c>
      <c r="G399" s="236"/>
      <c r="H399" s="236"/>
      <c r="I399" s="215"/>
      <c r="J399" s="214"/>
      <c r="K399" s="192" t="e">
        <f t="shared" si="9"/>
        <v>#DIV/0!</v>
      </c>
    </row>
    <row r="400" spans="1:11" s="21" customFormat="1" ht="38.25" hidden="1">
      <c r="A400" s="19" t="s">
        <v>40</v>
      </c>
      <c r="B400" s="20"/>
      <c r="C400" s="20"/>
      <c r="D400" s="20"/>
      <c r="E400" s="20"/>
      <c r="F400" s="20" t="s">
        <v>222</v>
      </c>
      <c r="G400" s="236"/>
      <c r="H400" s="236"/>
      <c r="I400" s="215"/>
      <c r="J400" s="214"/>
      <c r="K400" s="192" t="e">
        <f t="shared" si="9"/>
        <v>#DIV/0!</v>
      </c>
    </row>
    <row r="401" spans="1:11" s="21" customFormat="1" ht="27" customHeight="1" hidden="1">
      <c r="A401" s="12" t="s">
        <v>41</v>
      </c>
      <c r="B401" s="20"/>
      <c r="C401" s="20"/>
      <c r="D401" s="20"/>
      <c r="E401" s="20"/>
      <c r="F401" s="20" t="s">
        <v>192</v>
      </c>
      <c r="G401" s="236"/>
      <c r="H401" s="236"/>
      <c r="I401" s="215"/>
      <c r="J401" s="214"/>
      <c r="K401" s="192" t="e">
        <f t="shared" si="9"/>
        <v>#DIV/0!</v>
      </c>
    </row>
    <row r="402" spans="1:11" s="45" customFormat="1" ht="12.75" hidden="1">
      <c r="A402" s="43" t="s">
        <v>42</v>
      </c>
      <c r="B402" s="44" t="s">
        <v>157</v>
      </c>
      <c r="C402" s="44" t="s">
        <v>142</v>
      </c>
      <c r="D402" s="44" t="s">
        <v>69</v>
      </c>
      <c r="E402" s="44" t="s">
        <v>43</v>
      </c>
      <c r="F402" s="44"/>
      <c r="G402" s="239"/>
      <c r="H402" s="239"/>
      <c r="I402" s="198"/>
      <c r="J402" s="197"/>
      <c r="K402" s="192" t="e">
        <f t="shared" si="9"/>
        <v>#DIV/0!</v>
      </c>
    </row>
    <row r="403" spans="1:11" s="21" customFormat="1" ht="12.75" hidden="1">
      <c r="A403" s="16" t="s">
        <v>44</v>
      </c>
      <c r="B403" s="27" t="s">
        <v>157</v>
      </c>
      <c r="C403" s="27" t="s">
        <v>142</v>
      </c>
      <c r="D403" s="27" t="s">
        <v>69</v>
      </c>
      <c r="E403" s="17" t="s">
        <v>45</v>
      </c>
      <c r="F403" s="17"/>
      <c r="G403" s="236"/>
      <c r="H403" s="236"/>
      <c r="I403" s="215"/>
      <c r="J403" s="214"/>
      <c r="K403" s="192" t="e">
        <f t="shared" si="9"/>
        <v>#DIV/0!</v>
      </c>
    </row>
    <row r="404" spans="1:11" s="21" customFormat="1" ht="12.75" hidden="1">
      <c r="A404" s="6" t="s">
        <v>46</v>
      </c>
      <c r="B404" s="20"/>
      <c r="C404" s="20"/>
      <c r="D404" s="20"/>
      <c r="E404" s="20"/>
      <c r="F404" s="20"/>
      <c r="G404" s="236"/>
      <c r="H404" s="236"/>
      <c r="I404" s="215"/>
      <c r="J404" s="214"/>
      <c r="K404" s="192" t="e">
        <f t="shared" si="9"/>
        <v>#DIV/0!</v>
      </c>
    </row>
    <row r="405" spans="1:11" s="45" customFormat="1" ht="12.75" hidden="1">
      <c r="A405" s="43" t="s">
        <v>47</v>
      </c>
      <c r="B405" s="44" t="s">
        <v>157</v>
      </c>
      <c r="C405" s="44" t="s">
        <v>142</v>
      </c>
      <c r="D405" s="44" t="s">
        <v>69</v>
      </c>
      <c r="E405" s="44" t="s">
        <v>48</v>
      </c>
      <c r="F405" s="44"/>
      <c r="G405" s="239"/>
      <c r="H405" s="239"/>
      <c r="I405" s="198"/>
      <c r="J405" s="197"/>
      <c r="K405" s="192" t="e">
        <f t="shared" si="9"/>
        <v>#DIV/0!</v>
      </c>
    </row>
    <row r="406" spans="1:11" s="21" customFormat="1" ht="25.5" hidden="1">
      <c r="A406" s="12" t="s">
        <v>41</v>
      </c>
      <c r="B406" s="20"/>
      <c r="C406" s="20"/>
      <c r="D406" s="20"/>
      <c r="E406" s="20"/>
      <c r="F406" s="20"/>
      <c r="G406" s="236"/>
      <c r="H406" s="236"/>
      <c r="I406" s="215"/>
      <c r="J406" s="214"/>
      <c r="K406" s="192" t="e">
        <f t="shared" si="9"/>
        <v>#DIV/0!</v>
      </c>
    </row>
    <row r="407" spans="1:11" s="45" customFormat="1" ht="12.75" hidden="1">
      <c r="A407" s="43" t="s">
        <v>49</v>
      </c>
      <c r="B407" s="44" t="s">
        <v>157</v>
      </c>
      <c r="C407" s="44" t="s">
        <v>142</v>
      </c>
      <c r="D407" s="44" t="s">
        <v>69</v>
      </c>
      <c r="E407" s="44" t="s">
        <v>50</v>
      </c>
      <c r="F407" s="44"/>
      <c r="G407" s="239"/>
      <c r="H407" s="239"/>
      <c r="I407" s="198"/>
      <c r="J407" s="197"/>
      <c r="K407" s="192" t="e">
        <f t="shared" si="9"/>
        <v>#DIV/0!</v>
      </c>
    </row>
    <row r="408" spans="1:11" s="21" customFormat="1" ht="12.75" hidden="1">
      <c r="A408" s="16" t="s">
        <v>51</v>
      </c>
      <c r="B408" s="27" t="s">
        <v>157</v>
      </c>
      <c r="C408" s="27" t="s">
        <v>142</v>
      </c>
      <c r="D408" s="27" t="s">
        <v>69</v>
      </c>
      <c r="E408" s="17" t="s">
        <v>52</v>
      </c>
      <c r="F408" s="17"/>
      <c r="G408" s="236"/>
      <c r="H408" s="236"/>
      <c r="I408" s="215"/>
      <c r="J408" s="214"/>
      <c r="K408" s="192" t="e">
        <f t="shared" si="9"/>
        <v>#DIV/0!</v>
      </c>
    </row>
    <row r="409" spans="1:11" s="21" customFormat="1" ht="12.75" hidden="1">
      <c r="A409" s="7" t="s">
        <v>53</v>
      </c>
      <c r="B409" s="20"/>
      <c r="C409" s="20"/>
      <c r="D409" s="20"/>
      <c r="E409" s="20"/>
      <c r="F409" s="20" t="s">
        <v>223</v>
      </c>
      <c r="G409" s="236"/>
      <c r="H409" s="236"/>
      <c r="I409" s="215"/>
      <c r="J409" s="214"/>
      <c r="K409" s="192" t="e">
        <f t="shared" si="9"/>
        <v>#DIV/0!</v>
      </c>
    </row>
    <row r="410" spans="1:11" s="21" customFormat="1" ht="51" hidden="1">
      <c r="A410" s="7" t="s">
        <v>54</v>
      </c>
      <c r="B410" s="20"/>
      <c r="C410" s="20"/>
      <c r="D410" s="20"/>
      <c r="E410" s="20"/>
      <c r="F410" s="20" t="s">
        <v>194</v>
      </c>
      <c r="G410" s="236"/>
      <c r="H410" s="236"/>
      <c r="I410" s="215"/>
      <c r="J410" s="214"/>
      <c r="K410" s="192" t="e">
        <f t="shared" si="9"/>
        <v>#DIV/0!</v>
      </c>
    </row>
    <row r="411" spans="1:11" s="21" customFormat="1" ht="50.25" customHeight="1" hidden="1">
      <c r="A411" s="7" t="s">
        <v>55</v>
      </c>
      <c r="B411" s="20"/>
      <c r="C411" s="20"/>
      <c r="D411" s="20"/>
      <c r="E411" s="20"/>
      <c r="F411" s="20" t="s">
        <v>193</v>
      </c>
      <c r="G411" s="236"/>
      <c r="H411" s="236"/>
      <c r="I411" s="215"/>
      <c r="J411" s="214"/>
      <c r="K411" s="192" t="e">
        <f t="shared" si="9"/>
        <v>#DIV/0!</v>
      </c>
    </row>
    <row r="412" spans="1:11" s="21" customFormat="1" ht="14.25" customHeight="1" hidden="1">
      <c r="A412" s="16" t="s">
        <v>56</v>
      </c>
      <c r="B412" s="27" t="s">
        <v>157</v>
      </c>
      <c r="C412" s="27" t="s">
        <v>142</v>
      </c>
      <c r="D412" s="27" t="s">
        <v>69</v>
      </c>
      <c r="E412" s="17" t="s">
        <v>57</v>
      </c>
      <c r="F412" s="17"/>
      <c r="G412" s="236"/>
      <c r="H412" s="236"/>
      <c r="I412" s="215"/>
      <c r="J412" s="214"/>
      <c r="K412" s="192" t="e">
        <f t="shared" si="9"/>
        <v>#DIV/0!</v>
      </c>
    </row>
    <row r="413" spans="1:11" s="21" customFormat="1" ht="25.5" hidden="1">
      <c r="A413" s="7" t="s">
        <v>58</v>
      </c>
      <c r="B413" s="20"/>
      <c r="C413" s="20"/>
      <c r="D413" s="20"/>
      <c r="E413" s="20"/>
      <c r="F413" s="20" t="s">
        <v>195</v>
      </c>
      <c r="G413" s="236"/>
      <c r="H413" s="236"/>
      <c r="I413" s="215"/>
      <c r="J413" s="214"/>
      <c r="K413" s="192" t="e">
        <f t="shared" si="9"/>
        <v>#DIV/0!</v>
      </c>
    </row>
    <row r="414" spans="1:11" s="21" customFormat="1" ht="12.75" hidden="1">
      <c r="A414" s="7" t="s">
        <v>59</v>
      </c>
      <c r="B414" s="20"/>
      <c r="C414" s="20"/>
      <c r="D414" s="20"/>
      <c r="E414" s="20"/>
      <c r="F414" s="20" t="s">
        <v>196</v>
      </c>
      <c r="G414" s="236"/>
      <c r="H414" s="236"/>
      <c r="I414" s="215"/>
      <c r="J414" s="214"/>
      <c r="K414" s="192" t="e">
        <f t="shared" si="9"/>
        <v>#DIV/0!</v>
      </c>
    </row>
    <row r="415" spans="1:11" s="21" customFormat="1" ht="12.75" hidden="1">
      <c r="A415" s="7" t="s">
        <v>60</v>
      </c>
      <c r="B415" s="20"/>
      <c r="C415" s="20"/>
      <c r="D415" s="20"/>
      <c r="E415" s="20"/>
      <c r="F415" s="20" t="s">
        <v>197</v>
      </c>
      <c r="G415" s="236"/>
      <c r="H415" s="236"/>
      <c r="I415" s="215"/>
      <c r="J415" s="214"/>
      <c r="K415" s="192" t="e">
        <f t="shared" si="9"/>
        <v>#DIV/0!</v>
      </c>
    </row>
    <row r="416" spans="1:11" s="21" customFormat="1" ht="38.25" hidden="1">
      <c r="A416" s="7" t="s">
        <v>61</v>
      </c>
      <c r="B416" s="20"/>
      <c r="C416" s="20"/>
      <c r="D416" s="20"/>
      <c r="E416" s="20"/>
      <c r="F416" s="20" t="s">
        <v>198</v>
      </c>
      <c r="G416" s="236"/>
      <c r="H416" s="236"/>
      <c r="I416" s="215"/>
      <c r="J416" s="214"/>
      <c r="K416" s="192" t="e">
        <f t="shared" si="9"/>
        <v>#DIV/0!</v>
      </c>
    </row>
    <row r="417" spans="1:11" s="21" customFormat="1" ht="12.75" hidden="1">
      <c r="A417" s="23" t="s">
        <v>70</v>
      </c>
      <c r="B417" s="24" t="s">
        <v>158</v>
      </c>
      <c r="C417" s="24" t="s">
        <v>83</v>
      </c>
      <c r="D417" s="24"/>
      <c r="E417" s="24"/>
      <c r="F417" s="24"/>
      <c r="G417" s="236"/>
      <c r="H417" s="236"/>
      <c r="I417" s="215"/>
      <c r="J417" s="214"/>
      <c r="K417" s="192" t="e">
        <f t="shared" si="9"/>
        <v>#DIV/0!</v>
      </c>
    </row>
    <row r="418" spans="1:11" s="21" customFormat="1" ht="25.5" hidden="1">
      <c r="A418" s="26" t="s">
        <v>131</v>
      </c>
      <c r="B418" s="24" t="s">
        <v>158</v>
      </c>
      <c r="C418" s="24" t="s">
        <v>83</v>
      </c>
      <c r="D418" s="24" t="s">
        <v>69</v>
      </c>
      <c r="E418" s="24"/>
      <c r="F418" s="24"/>
      <c r="G418" s="236"/>
      <c r="H418" s="236"/>
      <c r="I418" s="215"/>
      <c r="J418" s="214"/>
      <c r="K418" s="192" t="e">
        <f t="shared" si="9"/>
        <v>#DIV/0!</v>
      </c>
    </row>
    <row r="419" spans="1:11" s="45" customFormat="1" ht="12.75" customHeight="1" hidden="1">
      <c r="A419" s="43" t="s">
        <v>4</v>
      </c>
      <c r="B419" s="44" t="s">
        <v>158</v>
      </c>
      <c r="C419" s="44" t="s">
        <v>83</v>
      </c>
      <c r="D419" s="44" t="s">
        <v>69</v>
      </c>
      <c r="E419" s="44" t="s">
        <v>5</v>
      </c>
      <c r="F419" s="44"/>
      <c r="G419" s="239"/>
      <c r="H419" s="239"/>
      <c r="I419" s="198"/>
      <c r="J419" s="197"/>
      <c r="K419" s="192" t="e">
        <f t="shared" si="9"/>
        <v>#DIV/0!</v>
      </c>
    </row>
    <row r="420" spans="1:11" s="21" customFormat="1" ht="12.75" hidden="1">
      <c r="A420" s="16" t="s">
        <v>6</v>
      </c>
      <c r="B420" s="17" t="s">
        <v>207</v>
      </c>
      <c r="C420" s="17" t="s">
        <v>83</v>
      </c>
      <c r="D420" s="17" t="s">
        <v>69</v>
      </c>
      <c r="E420" s="17" t="s">
        <v>7</v>
      </c>
      <c r="F420" s="17"/>
      <c r="G420" s="236"/>
      <c r="H420" s="236"/>
      <c r="I420" s="215"/>
      <c r="J420" s="214"/>
      <c r="K420" s="192" t="e">
        <f t="shared" si="9"/>
        <v>#DIV/0!</v>
      </c>
    </row>
    <row r="421" spans="1:11" s="21" customFormat="1" ht="9.75" customHeight="1" hidden="1">
      <c r="A421" s="16" t="s">
        <v>8</v>
      </c>
      <c r="B421" s="17" t="s">
        <v>207</v>
      </c>
      <c r="C421" s="17" t="s">
        <v>83</v>
      </c>
      <c r="D421" s="17" t="s">
        <v>69</v>
      </c>
      <c r="E421" s="17" t="s">
        <v>9</v>
      </c>
      <c r="F421" s="17"/>
      <c r="G421" s="236"/>
      <c r="H421" s="236"/>
      <c r="I421" s="215"/>
      <c r="J421" s="214"/>
      <c r="K421" s="192" t="e">
        <f t="shared" si="9"/>
        <v>#DIV/0!</v>
      </c>
    </row>
    <row r="422" spans="1:11" s="21" customFormat="1" ht="25.5" hidden="1">
      <c r="A422" s="11" t="s">
        <v>10</v>
      </c>
      <c r="B422" s="4"/>
      <c r="C422" s="4"/>
      <c r="D422" s="4"/>
      <c r="E422" s="4"/>
      <c r="F422" s="4" t="s">
        <v>183</v>
      </c>
      <c r="G422" s="236"/>
      <c r="H422" s="236"/>
      <c r="I422" s="215"/>
      <c r="J422" s="214"/>
      <c r="K422" s="192" t="e">
        <f t="shared" si="9"/>
        <v>#DIV/0!</v>
      </c>
    </row>
    <row r="423" spans="1:11" s="21" customFormat="1" ht="12.75" customHeight="1" hidden="1">
      <c r="A423" s="12" t="s">
        <v>11</v>
      </c>
      <c r="B423" s="4"/>
      <c r="C423" s="4"/>
      <c r="D423" s="4"/>
      <c r="E423" s="4"/>
      <c r="F423" s="4" t="s">
        <v>200</v>
      </c>
      <c r="G423" s="236"/>
      <c r="H423" s="236"/>
      <c r="I423" s="215"/>
      <c r="J423" s="214"/>
      <c r="K423" s="192" t="e">
        <f t="shared" si="9"/>
        <v>#DIV/0!</v>
      </c>
    </row>
    <row r="424" spans="1:11" s="30" customFormat="1" ht="12.75" hidden="1">
      <c r="A424" s="65" t="s">
        <v>130</v>
      </c>
      <c r="B424" s="29"/>
      <c r="C424" s="29"/>
      <c r="D424" s="29"/>
      <c r="E424" s="29"/>
      <c r="F424" s="29" t="s">
        <v>199</v>
      </c>
      <c r="G424" s="254"/>
      <c r="H424" s="254"/>
      <c r="I424" s="205"/>
      <c r="J424" s="212"/>
      <c r="K424" s="192" t="e">
        <f t="shared" si="9"/>
        <v>#DIV/0!</v>
      </c>
    </row>
    <row r="425" spans="1:11" s="21" customFormat="1" ht="25.5" hidden="1">
      <c r="A425" s="6" t="s">
        <v>12</v>
      </c>
      <c r="B425" s="4"/>
      <c r="C425" s="4"/>
      <c r="D425" s="4"/>
      <c r="E425" s="4"/>
      <c r="F425" s="4" t="s">
        <v>184</v>
      </c>
      <c r="G425" s="236"/>
      <c r="H425" s="236"/>
      <c r="I425" s="215"/>
      <c r="J425" s="214"/>
      <c r="K425" s="192" t="e">
        <f t="shared" si="9"/>
        <v>#DIV/0!</v>
      </c>
    </row>
    <row r="426" spans="1:11" s="21" customFormat="1" ht="12.75" hidden="1">
      <c r="A426" s="16" t="s">
        <v>13</v>
      </c>
      <c r="B426" s="17" t="s">
        <v>207</v>
      </c>
      <c r="C426" s="17" t="s">
        <v>83</v>
      </c>
      <c r="D426" s="17" t="s">
        <v>69</v>
      </c>
      <c r="E426" s="17" t="s">
        <v>14</v>
      </c>
      <c r="F426" s="17"/>
      <c r="G426" s="236"/>
      <c r="H426" s="236"/>
      <c r="I426" s="215"/>
      <c r="J426" s="214"/>
      <c r="K426" s="192" t="e">
        <f t="shared" si="9"/>
        <v>#DIV/0!</v>
      </c>
    </row>
    <row r="427" spans="1:11" s="45" customFormat="1" ht="12.75" hidden="1">
      <c r="A427" s="43" t="s">
        <v>15</v>
      </c>
      <c r="B427" s="44" t="s">
        <v>207</v>
      </c>
      <c r="C427" s="44" t="s">
        <v>83</v>
      </c>
      <c r="D427" s="44" t="s">
        <v>69</v>
      </c>
      <c r="E427" s="44" t="s">
        <v>16</v>
      </c>
      <c r="F427" s="44"/>
      <c r="G427" s="239"/>
      <c r="H427" s="239"/>
      <c r="I427" s="198"/>
      <c r="J427" s="197"/>
      <c r="K427" s="192" t="e">
        <f t="shared" si="9"/>
        <v>#DIV/0!</v>
      </c>
    </row>
    <row r="428" spans="1:11" s="21" customFormat="1" ht="12.75" hidden="1">
      <c r="A428" s="16" t="s">
        <v>17</v>
      </c>
      <c r="B428" s="17" t="s">
        <v>207</v>
      </c>
      <c r="C428" s="17" t="s">
        <v>83</v>
      </c>
      <c r="D428" s="17" t="s">
        <v>69</v>
      </c>
      <c r="E428" s="17" t="s">
        <v>18</v>
      </c>
      <c r="F428" s="17"/>
      <c r="G428" s="236"/>
      <c r="H428" s="236"/>
      <c r="I428" s="215"/>
      <c r="J428" s="214"/>
      <c r="K428" s="192" t="e">
        <f t="shared" si="9"/>
        <v>#DIV/0!</v>
      </c>
    </row>
    <row r="429" spans="1:11" s="21" customFormat="1" ht="12.75" hidden="1">
      <c r="A429" s="16" t="s">
        <v>21</v>
      </c>
      <c r="B429" s="17" t="s">
        <v>207</v>
      </c>
      <c r="C429" s="17" t="s">
        <v>83</v>
      </c>
      <c r="D429" s="17" t="s">
        <v>69</v>
      </c>
      <c r="E429" s="17" t="s">
        <v>19</v>
      </c>
      <c r="F429" s="17"/>
      <c r="G429" s="236"/>
      <c r="H429" s="236"/>
      <c r="I429" s="215"/>
      <c r="J429" s="214"/>
      <c r="K429" s="192" t="e">
        <f t="shared" si="9"/>
        <v>#DIV/0!</v>
      </c>
    </row>
    <row r="430" spans="1:11" s="21" customFormat="1" ht="25.5" hidden="1">
      <c r="A430" s="11" t="s">
        <v>20</v>
      </c>
      <c r="B430" s="4"/>
      <c r="C430" s="4"/>
      <c r="D430" s="4"/>
      <c r="E430" s="4"/>
      <c r="F430" s="4" t="s">
        <v>183</v>
      </c>
      <c r="G430" s="236"/>
      <c r="H430" s="236"/>
      <c r="I430" s="215"/>
      <c r="J430" s="214"/>
      <c r="K430" s="192" t="e">
        <f t="shared" si="9"/>
        <v>#DIV/0!</v>
      </c>
    </row>
    <row r="431" spans="1:11" s="21" customFormat="1" ht="38.25" hidden="1">
      <c r="A431" s="8" t="s">
        <v>22</v>
      </c>
      <c r="B431" s="4"/>
      <c r="C431" s="4"/>
      <c r="D431" s="4"/>
      <c r="E431" s="4"/>
      <c r="F431" s="4" t="s">
        <v>185</v>
      </c>
      <c r="G431" s="236"/>
      <c r="H431" s="236"/>
      <c r="I431" s="215"/>
      <c r="J431" s="214"/>
      <c r="K431" s="192" t="e">
        <f t="shared" si="9"/>
        <v>#DIV/0!</v>
      </c>
    </row>
    <row r="432" spans="1:11" s="21" customFormat="1" ht="12.75" hidden="1">
      <c r="A432" s="16" t="s">
        <v>23</v>
      </c>
      <c r="B432" s="17" t="s">
        <v>207</v>
      </c>
      <c r="C432" s="17" t="s">
        <v>83</v>
      </c>
      <c r="D432" s="17" t="s">
        <v>69</v>
      </c>
      <c r="E432" s="17" t="s">
        <v>24</v>
      </c>
      <c r="F432" s="17"/>
      <c r="G432" s="236"/>
      <c r="H432" s="236"/>
      <c r="I432" s="215"/>
      <c r="J432" s="214"/>
      <c r="K432" s="192" t="e">
        <f t="shared" si="9"/>
        <v>#DIV/0!</v>
      </c>
    </row>
    <row r="433" spans="1:11" s="21" customFormat="1" ht="25.5" hidden="1">
      <c r="A433" s="7" t="s">
        <v>25</v>
      </c>
      <c r="B433" s="4"/>
      <c r="C433" s="4"/>
      <c r="D433" s="4"/>
      <c r="E433" s="4"/>
      <c r="F433" s="4" t="s">
        <v>186</v>
      </c>
      <c r="G433" s="236"/>
      <c r="H433" s="236"/>
      <c r="I433" s="215"/>
      <c r="J433" s="214"/>
      <c r="K433" s="192" t="e">
        <f t="shared" si="9"/>
        <v>#DIV/0!</v>
      </c>
    </row>
    <row r="434" spans="1:11" s="21" customFormat="1" ht="25.5" hidden="1">
      <c r="A434" s="7" t="s">
        <v>26</v>
      </c>
      <c r="B434" s="4"/>
      <c r="C434" s="4"/>
      <c r="D434" s="4"/>
      <c r="E434" s="4"/>
      <c r="F434" s="4" t="s">
        <v>187</v>
      </c>
      <c r="G434" s="236"/>
      <c r="H434" s="236"/>
      <c r="I434" s="215"/>
      <c r="J434" s="214"/>
      <c r="K434" s="192" t="e">
        <f t="shared" si="9"/>
        <v>#DIV/0!</v>
      </c>
    </row>
    <row r="435" spans="1:11" s="21" customFormat="1" ht="9" customHeight="1" hidden="1">
      <c r="A435" s="7" t="s">
        <v>27</v>
      </c>
      <c r="B435" s="4"/>
      <c r="C435" s="4"/>
      <c r="D435" s="4"/>
      <c r="E435" s="4"/>
      <c r="F435" s="4" t="s">
        <v>188</v>
      </c>
      <c r="G435" s="236"/>
      <c r="H435" s="236"/>
      <c r="I435" s="215"/>
      <c r="J435" s="214"/>
      <c r="K435" s="192" t="e">
        <f t="shared" si="9"/>
        <v>#DIV/0!</v>
      </c>
    </row>
    <row r="436" spans="1:11" s="21" customFormat="1" ht="13.5" customHeight="1" hidden="1">
      <c r="A436" s="16" t="s">
        <v>28</v>
      </c>
      <c r="B436" s="17" t="s">
        <v>207</v>
      </c>
      <c r="C436" s="17" t="s">
        <v>83</v>
      </c>
      <c r="D436" s="17" t="s">
        <v>69</v>
      </c>
      <c r="E436" s="17" t="s">
        <v>29</v>
      </c>
      <c r="F436" s="17"/>
      <c r="G436" s="236"/>
      <c r="H436" s="236"/>
      <c r="I436" s="215"/>
      <c r="J436" s="214"/>
      <c r="K436" s="192" t="e">
        <f t="shared" si="9"/>
        <v>#DIV/0!</v>
      </c>
    </row>
    <row r="437" spans="1:11" s="21" customFormat="1" ht="12.75" hidden="1">
      <c r="A437" s="16" t="s">
        <v>30</v>
      </c>
      <c r="B437" s="17" t="s">
        <v>207</v>
      </c>
      <c r="C437" s="17" t="s">
        <v>83</v>
      </c>
      <c r="D437" s="17" t="s">
        <v>69</v>
      </c>
      <c r="E437" s="17" t="s">
        <v>31</v>
      </c>
      <c r="F437" s="17"/>
      <c r="G437" s="236"/>
      <c r="H437" s="236"/>
      <c r="I437" s="215"/>
      <c r="J437" s="214"/>
      <c r="K437" s="192" t="e">
        <f t="shared" si="9"/>
        <v>#DIV/0!</v>
      </c>
    </row>
    <row r="438" spans="1:11" s="21" customFormat="1" ht="12.75" hidden="1">
      <c r="A438" s="7" t="s">
        <v>32</v>
      </c>
      <c r="B438" s="17"/>
      <c r="C438" s="17"/>
      <c r="D438" s="17"/>
      <c r="E438" s="17"/>
      <c r="F438" s="17" t="s">
        <v>189</v>
      </c>
      <c r="G438" s="236"/>
      <c r="H438" s="236"/>
      <c r="I438" s="215"/>
      <c r="J438" s="214"/>
      <c r="K438" s="192" t="e">
        <f t="shared" si="9"/>
        <v>#DIV/0!</v>
      </c>
    </row>
    <row r="439" spans="1:11" s="21" customFormat="1" ht="12.75" hidden="1">
      <c r="A439" s="7" t="s">
        <v>33</v>
      </c>
      <c r="B439" s="17"/>
      <c r="C439" s="17"/>
      <c r="D439" s="17"/>
      <c r="E439" s="17"/>
      <c r="F439" s="17" t="s">
        <v>191</v>
      </c>
      <c r="G439" s="236"/>
      <c r="H439" s="236"/>
      <c r="I439" s="215"/>
      <c r="J439" s="214"/>
      <c r="K439" s="192" t="e">
        <f t="shared" si="9"/>
        <v>#DIV/0!</v>
      </c>
    </row>
    <row r="440" spans="1:11" s="21" customFormat="1" ht="25.5" hidden="1">
      <c r="A440" s="7" t="s">
        <v>34</v>
      </c>
      <c r="B440" s="17"/>
      <c r="C440" s="17"/>
      <c r="D440" s="17"/>
      <c r="E440" s="17"/>
      <c r="F440" s="17" t="s">
        <v>221</v>
      </c>
      <c r="G440" s="236"/>
      <c r="H440" s="236"/>
      <c r="I440" s="215"/>
      <c r="J440" s="214"/>
      <c r="K440" s="192" t="e">
        <f t="shared" si="9"/>
        <v>#DIV/0!</v>
      </c>
    </row>
    <row r="441" spans="1:11" s="21" customFormat="1" ht="25.5" hidden="1">
      <c r="A441" s="7" t="s">
        <v>35</v>
      </c>
      <c r="B441" s="17"/>
      <c r="C441" s="17"/>
      <c r="D441" s="17"/>
      <c r="E441" s="17"/>
      <c r="F441" s="17" t="s">
        <v>190</v>
      </c>
      <c r="G441" s="236"/>
      <c r="H441" s="236"/>
      <c r="I441" s="215"/>
      <c r="J441" s="214"/>
      <c r="K441" s="192" t="e">
        <f t="shared" si="9"/>
        <v>#DIV/0!</v>
      </c>
    </row>
    <row r="442" spans="1:11" s="21" customFormat="1" ht="51" hidden="1">
      <c r="A442" s="7" t="s">
        <v>36</v>
      </c>
      <c r="B442" s="17"/>
      <c r="C442" s="17"/>
      <c r="D442" s="17"/>
      <c r="E442" s="17"/>
      <c r="F442" s="17" t="s">
        <v>190</v>
      </c>
      <c r="G442" s="236"/>
      <c r="H442" s="236"/>
      <c r="I442" s="215"/>
      <c r="J442" s="214"/>
      <c r="K442" s="192" t="e">
        <f t="shared" si="9"/>
        <v>#DIV/0!</v>
      </c>
    </row>
    <row r="443" spans="1:11" s="21" customFormat="1" ht="12.75" hidden="1">
      <c r="A443" s="16" t="s">
        <v>37</v>
      </c>
      <c r="B443" s="17" t="s">
        <v>207</v>
      </c>
      <c r="C443" s="17" t="s">
        <v>83</v>
      </c>
      <c r="D443" s="17" t="s">
        <v>69</v>
      </c>
      <c r="E443" s="17" t="s">
        <v>38</v>
      </c>
      <c r="F443" s="17"/>
      <c r="G443" s="236"/>
      <c r="H443" s="236"/>
      <c r="I443" s="215"/>
      <c r="J443" s="214"/>
      <c r="K443" s="192" t="e">
        <f t="shared" si="9"/>
        <v>#DIV/0!</v>
      </c>
    </row>
    <row r="444" spans="1:11" s="21" customFormat="1" ht="36" customHeight="1" hidden="1">
      <c r="A444" s="11" t="s">
        <v>39</v>
      </c>
      <c r="B444" s="20"/>
      <c r="C444" s="20"/>
      <c r="D444" s="20"/>
      <c r="E444" s="20"/>
      <c r="F444" s="20" t="s">
        <v>183</v>
      </c>
      <c r="G444" s="236"/>
      <c r="H444" s="236"/>
      <c r="I444" s="215"/>
      <c r="J444" s="214"/>
      <c r="K444" s="192" t="e">
        <f t="shared" si="9"/>
        <v>#DIV/0!</v>
      </c>
    </row>
    <row r="445" spans="1:11" s="21" customFormat="1" ht="38.25" hidden="1">
      <c r="A445" s="19" t="s">
        <v>40</v>
      </c>
      <c r="B445" s="20"/>
      <c r="C445" s="20"/>
      <c r="D445" s="20"/>
      <c r="E445" s="20"/>
      <c r="F445" s="20" t="s">
        <v>222</v>
      </c>
      <c r="G445" s="236"/>
      <c r="H445" s="236"/>
      <c r="I445" s="215"/>
      <c r="J445" s="214"/>
      <c r="K445" s="192" t="e">
        <f t="shared" si="9"/>
        <v>#DIV/0!</v>
      </c>
    </row>
    <row r="446" spans="1:11" s="21" customFormat="1" ht="26.25" customHeight="1" hidden="1">
      <c r="A446" s="12" t="s">
        <v>41</v>
      </c>
      <c r="B446" s="20"/>
      <c r="C446" s="20"/>
      <c r="D446" s="20"/>
      <c r="E446" s="20"/>
      <c r="F446" s="20" t="s">
        <v>192</v>
      </c>
      <c r="G446" s="236"/>
      <c r="H446" s="236"/>
      <c r="I446" s="215"/>
      <c r="J446" s="214"/>
      <c r="K446" s="192" t="e">
        <f t="shared" si="9"/>
        <v>#DIV/0!</v>
      </c>
    </row>
    <row r="447" spans="1:11" s="45" customFormat="1" ht="12.75" hidden="1">
      <c r="A447" s="43" t="s">
        <v>42</v>
      </c>
      <c r="B447" s="44" t="s">
        <v>207</v>
      </c>
      <c r="C447" s="44" t="s">
        <v>83</v>
      </c>
      <c r="D447" s="44" t="s">
        <v>69</v>
      </c>
      <c r="E447" s="44" t="s">
        <v>43</v>
      </c>
      <c r="F447" s="44"/>
      <c r="G447" s="239"/>
      <c r="H447" s="239"/>
      <c r="I447" s="198"/>
      <c r="J447" s="197"/>
      <c r="K447" s="192" t="e">
        <f t="shared" si="9"/>
        <v>#DIV/0!</v>
      </c>
    </row>
    <row r="448" spans="1:11" s="21" customFormat="1" ht="12.75" hidden="1">
      <c r="A448" s="16" t="s">
        <v>44</v>
      </c>
      <c r="B448" s="17" t="s">
        <v>207</v>
      </c>
      <c r="C448" s="17" t="s">
        <v>83</v>
      </c>
      <c r="D448" s="17" t="s">
        <v>69</v>
      </c>
      <c r="E448" s="17" t="s">
        <v>45</v>
      </c>
      <c r="F448" s="17"/>
      <c r="G448" s="236"/>
      <c r="H448" s="236"/>
      <c r="I448" s="215"/>
      <c r="J448" s="214"/>
      <c r="K448" s="192" t="e">
        <f t="shared" si="9"/>
        <v>#DIV/0!</v>
      </c>
    </row>
    <row r="449" spans="1:11" s="21" customFormat="1" ht="12.75" hidden="1">
      <c r="A449" s="6" t="s">
        <v>46</v>
      </c>
      <c r="B449" s="20"/>
      <c r="C449" s="20"/>
      <c r="D449" s="20"/>
      <c r="E449" s="20"/>
      <c r="F449" s="20"/>
      <c r="G449" s="236"/>
      <c r="H449" s="236"/>
      <c r="I449" s="215"/>
      <c r="J449" s="214"/>
      <c r="K449" s="192" t="e">
        <f t="shared" si="9"/>
        <v>#DIV/0!</v>
      </c>
    </row>
    <row r="450" spans="1:11" s="21" customFormat="1" ht="12.75" hidden="1">
      <c r="A450" s="64" t="s">
        <v>129</v>
      </c>
      <c r="B450" s="20"/>
      <c r="C450" s="20"/>
      <c r="D450" s="20"/>
      <c r="E450" s="20"/>
      <c r="F450" s="20" t="s">
        <v>209</v>
      </c>
      <c r="G450" s="236"/>
      <c r="H450" s="236"/>
      <c r="I450" s="215"/>
      <c r="J450" s="214"/>
      <c r="K450" s="192" t="e">
        <f t="shared" si="9"/>
        <v>#DIV/0!</v>
      </c>
    </row>
    <row r="451" spans="1:11" s="45" customFormat="1" ht="12.75" hidden="1">
      <c r="A451" s="43" t="s">
        <v>47</v>
      </c>
      <c r="B451" s="44" t="s">
        <v>207</v>
      </c>
      <c r="C451" s="44" t="s">
        <v>83</v>
      </c>
      <c r="D451" s="44" t="s">
        <v>69</v>
      </c>
      <c r="E451" s="44" t="s">
        <v>48</v>
      </c>
      <c r="F451" s="44"/>
      <c r="G451" s="239"/>
      <c r="H451" s="239"/>
      <c r="I451" s="198"/>
      <c r="J451" s="197"/>
      <c r="K451" s="192" t="e">
        <f t="shared" si="9"/>
        <v>#DIV/0!</v>
      </c>
    </row>
    <row r="452" spans="1:11" s="21" customFormat="1" ht="25.5" customHeight="1" hidden="1">
      <c r="A452" s="12" t="s">
        <v>41</v>
      </c>
      <c r="B452" s="20"/>
      <c r="C452" s="20"/>
      <c r="D452" s="20"/>
      <c r="E452" s="20"/>
      <c r="F452" s="20"/>
      <c r="G452" s="236"/>
      <c r="H452" s="236"/>
      <c r="I452" s="215"/>
      <c r="J452" s="214"/>
      <c r="K452" s="192" t="e">
        <f t="shared" si="9"/>
        <v>#DIV/0!</v>
      </c>
    </row>
    <row r="453" spans="1:11" s="45" customFormat="1" ht="12.75" hidden="1">
      <c r="A453" s="43" t="s">
        <v>49</v>
      </c>
      <c r="B453" s="44" t="s">
        <v>207</v>
      </c>
      <c r="C453" s="44" t="s">
        <v>83</v>
      </c>
      <c r="D453" s="44" t="s">
        <v>69</v>
      </c>
      <c r="E453" s="44" t="s">
        <v>50</v>
      </c>
      <c r="F453" s="44"/>
      <c r="G453" s="239"/>
      <c r="H453" s="239"/>
      <c r="I453" s="198"/>
      <c r="J453" s="197"/>
      <c r="K453" s="192" t="e">
        <f t="shared" si="9"/>
        <v>#DIV/0!</v>
      </c>
    </row>
    <row r="454" spans="1:11" s="21" customFormat="1" ht="12.75" hidden="1">
      <c r="A454" s="16" t="s">
        <v>51</v>
      </c>
      <c r="B454" s="17" t="s">
        <v>207</v>
      </c>
      <c r="C454" s="17" t="s">
        <v>83</v>
      </c>
      <c r="D454" s="17" t="s">
        <v>69</v>
      </c>
      <c r="E454" s="17" t="s">
        <v>52</v>
      </c>
      <c r="F454" s="17"/>
      <c r="G454" s="236"/>
      <c r="H454" s="236"/>
      <c r="I454" s="215"/>
      <c r="J454" s="214"/>
      <c r="K454" s="192" t="e">
        <f t="shared" si="9"/>
        <v>#DIV/0!</v>
      </c>
    </row>
    <row r="455" spans="1:11" s="21" customFormat="1" ht="12.75" hidden="1">
      <c r="A455" s="7" t="s">
        <v>53</v>
      </c>
      <c r="B455" s="20"/>
      <c r="C455" s="20"/>
      <c r="D455" s="20"/>
      <c r="E455" s="20"/>
      <c r="F455" s="20" t="s">
        <v>223</v>
      </c>
      <c r="G455" s="236"/>
      <c r="H455" s="236"/>
      <c r="I455" s="215"/>
      <c r="J455" s="214"/>
      <c r="K455" s="192" t="e">
        <f t="shared" si="9"/>
        <v>#DIV/0!</v>
      </c>
    </row>
    <row r="456" spans="1:11" s="21" customFormat="1" ht="51" hidden="1">
      <c r="A456" s="7" t="s">
        <v>54</v>
      </c>
      <c r="B456" s="20"/>
      <c r="C456" s="20"/>
      <c r="D456" s="20"/>
      <c r="E456" s="20"/>
      <c r="F456" s="20" t="s">
        <v>194</v>
      </c>
      <c r="G456" s="236"/>
      <c r="H456" s="236"/>
      <c r="I456" s="215"/>
      <c r="J456" s="214"/>
      <c r="K456" s="192" t="e">
        <f t="shared" si="9"/>
        <v>#DIV/0!</v>
      </c>
    </row>
    <row r="457" spans="1:11" s="21" customFormat="1" ht="50.25" customHeight="1" hidden="1">
      <c r="A457" s="7" t="s">
        <v>55</v>
      </c>
      <c r="B457" s="20"/>
      <c r="C457" s="20"/>
      <c r="D457" s="20"/>
      <c r="E457" s="20"/>
      <c r="F457" s="20" t="s">
        <v>193</v>
      </c>
      <c r="G457" s="236"/>
      <c r="H457" s="236"/>
      <c r="I457" s="215"/>
      <c r="J457" s="214"/>
      <c r="K457" s="192" t="e">
        <f t="shared" si="9"/>
        <v>#DIV/0!</v>
      </c>
    </row>
    <row r="458" spans="1:11" s="21" customFormat="1" ht="16.5" customHeight="1" hidden="1">
      <c r="A458" s="16" t="s">
        <v>56</v>
      </c>
      <c r="B458" s="17" t="s">
        <v>207</v>
      </c>
      <c r="C458" s="17" t="s">
        <v>83</v>
      </c>
      <c r="D458" s="17" t="s">
        <v>69</v>
      </c>
      <c r="E458" s="17" t="s">
        <v>57</v>
      </c>
      <c r="F458" s="17"/>
      <c r="G458" s="236"/>
      <c r="H458" s="236"/>
      <c r="I458" s="215"/>
      <c r="J458" s="214"/>
      <c r="K458" s="192" t="e">
        <f t="shared" si="9"/>
        <v>#DIV/0!</v>
      </c>
    </row>
    <row r="459" spans="1:11" s="21" customFormat="1" ht="25.5" hidden="1">
      <c r="A459" s="7" t="s">
        <v>58</v>
      </c>
      <c r="B459" s="20"/>
      <c r="C459" s="20"/>
      <c r="D459" s="20"/>
      <c r="E459" s="20"/>
      <c r="F459" s="20" t="s">
        <v>195</v>
      </c>
      <c r="G459" s="236"/>
      <c r="H459" s="236"/>
      <c r="I459" s="215"/>
      <c r="J459" s="214"/>
      <c r="K459" s="192" t="e">
        <f aca="true" t="shared" si="10" ref="K459:K522">J459*100/I459</f>
        <v>#DIV/0!</v>
      </c>
    </row>
    <row r="460" spans="1:11" s="21" customFormat="1" ht="10.5" customHeight="1" hidden="1">
      <c r="A460" s="7" t="s">
        <v>59</v>
      </c>
      <c r="B460" s="20"/>
      <c r="C460" s="20"/>
      <c r="D460" s="20"/>
      <c r="E460" s="20"/>
      <c r="F460" s="20" t="s">
        <v>196</v>
      </c>
      <c r="G460" s="236"/>
      <c r="H460" s="236"/>
      <c r="I460" s="215"/>
      <c r="J460" s="214"/>
      <c r="K460" s="192" t="e">
        <f t="shared" si="10"/>
        <v>#DIV/0!</v>
      </c>
    </row>
    <row r="461" spans="1:11" s="21" customFormat="1" ht="12.75" hidden="1">
      <c r="A461" s="7" t="s">
        <v>60</v>
      </c>
      <c r="B461" s="20"/>
      <c r="C461" s="20"/>
      <c r="D461" s="20"/>
      <c r="E461" s="20"/>
      <c r="F461" s="20" t="s">
        <v>197</v>
      </c>
      <c r="G461" s="236"/>
      <c r="H461" s="236"/>
      <c r="I461" s="215"/>
      <c r="J461" s="214"/>
      <c r="K461" s="192" t="e">
        <f t="shared" si="10"/>
        <v>#DIV/0!</v>
      </c>
    </row>
    <row r="462" spans="1:11" s="21" customFormat="1" ht="38.25" hidden="1">
      <c r="A462" s="7" t="s">
        <v>61</v>
      </c>
      <c r="B462" s="20"/>
      <c r="C462" s="20"/>
      <c r="D462" s="20"/>
      <c r="E462" s="20"/>
      <c r="F462" s="20" t="s">
        <v>198</v>
      </c>
      <c r="G462" s="236"/>
      <c r="H462" s="236"/>
      <c r="I462" s="215"/>
      <c r="J462" s="214"/>
      <c r="K462" s="192" t="e">
        <f t="shared" si="10"/>
        <v>#DIV/0!</v>
      </c>
    </row>
    <row r="463" spans="1:11" s="21" customFormat="1" ht="12.75" hidden="1">
      <c r="A463" s="23" t="s">
        <v>71</v>
      </c>
      <c r="B463" s="24" t="s">
        <v>158</v>
      </c>
      <c r="C463" s="24" t="s">
        <v>141</v>
      </c>
      <c r="D463" s="24" t="s">
        <v>69</v>
      </c>
      <c r="E463" s="24"/>
      <c r="F463" s="24"/>
      <c r="G463" s="236"/>
      <c r="H463" s="236"/>
      <c r="I463" s="215"/>
      <c r="J463" s="214"/>
      <c r="K463" s="192" t="e">
        <f t="shared" si="10"/>
        <v>#DIV/0!</v>
      </c>
    </row>
    <row r="464" spans="1:11" s="45" customFormat="1" ht="12.75" customHeight="1" hidden="1">
      <c r="A464" s="43" t="s">
        <v>4</v>
      </c>
      <c r="B464" s="44" t="s">
        <v>158</v>
      </c>
      <c r="C464" s="44" t="s">
        <v>141</v>
      </c>
      <c r="D464" s="44" t="s">
        <v>69</v>
      </c>
      <c r="E464" s="44" t="s">
        <v>5</v>
      </c>
      <c r="F464" s="44"/>
      <c r="G464" s="239"/>
      <c r="H464" s="239"/>
      <c r="I464" s="198"/>
      <c r="J464" s="197"/>
      <c r="K464" s="192" t="e">
        <f t="shared" si="10"/>
        <v>#DIV/0!</v>
      </c>
    </row>
    <row r="465" spans="1:11" s="21" customFormat="1" ht="12.75" hidden="1">
      <c r="A465" s="16" t="s">
        <v>6</v>
      </c>
      <c r="B465" s="17" t="s">
        <v>207</v>
      </c>
      <c r="C465" s="17" t="s">
        <v>141</v>
      </c>
      <c r="D465" s="17" t="s">
        <v>69</v>
      </c>
      <c r="E465" s="17" t="s">
        <v>7</v>
      </c>
      <c r="F465" s="17"/>
      <c r="G465" s="236"/>
      <c r="H465" s="236"/>
      <c r="I465" s="215"/>
      <c r="J465" s="214"/>
      <c r="K465" s="192" t="e">
        <f t="shared" si="10"/>
        <v>#DIV/0!</v>
      </c>
    </row>
    <row r="466" spans="1:11" s="21" customFormat="1" ht="12.75" hidden="1">
      <c r="A466" s="16" t="s">
        <v>8</v>
      </c>
      <c r="B466" s="17" t="s">
        <v>207</v>
      </c>
      <c r="C466" s="17" t="s">
        <v>141</v>
      </c>
      <c r="D466" s="17" t="s">
        <v>69</v>
      </c>
      <c r="E466" s="17" t="s">
        <v>9</v>
      </c>
      <c r="F466" s="17"/>
      <c r="G466" s="236"/>
      <c r="H466" s="236"/>
      <c r="I466" s="215"/>
      <c r="J466" s="214"/>
      <c r="K466" s="192" t="e">
        <f t="shared" si="10"/>
        <v>#DIV/0!</v>
      </c>
    </row>
    <row r="467" spans="1:11" s="21" customFormat="1" ht="25.5" hidden="1">
      <c r="A467" s="11" t="s">
        <v>10</v>
      </c>
      <c r="B467" s="4"/>
      <c r="C467" s="4"/>
      <c r="D467" s="4"/>
      <c r="E467" s="4"/>
      <c r="F467" s="4" t="s">
        <v>183</v>
      </c>
      <c r="G467" s="236"/>
      <c r="H467" s="236"/>
      <c r="I467" s="215"/>
      <c r="J467" s="214"/>
      <c r="K467" s="192" t="e">
        <f t="shared" si="10"/>
        <v>#DIV/0!</v>
      </c>
    </row>
    <row r="468" spans="1:11" s="21" customFormat="1" ht="15.75" customHeight="1" hidden="1">
      <c r="A468" s="12" t="s">
        <v>11</v>
      </c>
      <c r="B468" s="4"/>
      <c r="C468" s="4"/>
      <c r="D468" s="4"/>
      <c r="E468" s="4"/>
      <c r="F468" s="4" t="s">
        <v>200</v>
      </c>
      <c r="G468" s="236"/>
      <c r="H468" s="236"/>
      <c r="I468" s="215"/>
      <c r="J468" s="214"/>
      <c r="K468" s="192" t="e">
        <f t="shared" si="10"/>
        <v>#DIV/0!</v>
      </c>
    </row>
    <row r="469" spans="1:11" s="30" customFormat="1" ht="12.75" hidden="1">
      <c r="A469" s="65" t="s">
        <v>130</v>
      </c>
      <c r="B469" s="29"/>
      <c r="C469" s="29"/>
      <c r="D469" s="29"/>
      <c r="E469" s="29"/>
      <c r="F469" s="29" t="s">
        <v>199</v>
      </c>
      <c r="G469" s="254"/>
      <c r="H469" s="254"/>
      <c r="I469" s="205"/>
      <c r="J469" s="212"/>
      <c r="K469" s="192" t="e">
        <f t="shared" si="10"/>
        <v>#DIV/0!</v>
      </c>
    </row>
    <row r="470" spans="1:11" s="21" customFormat="1" ht="25.5" hidden="1">
      <c r="A470" s="6" t="s">
        <v>12</v>
      </c>
      <c r="B470" s="4"/>
      <c r="C470" s="4"/>
      <c r="D470" s="4"/>
      <c r="E470" s="4"/>
      <c r="F470" s="4" t="s">
        <v>184</v>
      </c>
      <c r="G470" s="236"/>
      <c r="H470" s="236"/>
      <c r="I470" s="215"/>
      <c r="J470" s="214"/>
      <c r="K470" s="192" t="e">
        <f t="shared" si="10"/>
        <v>#DIV/0!</v>
      </c>
    </row>
    <row r="471" spans="1:11" s="21" customFormat="1" ht="12.75" hidden="1">
      <c r="A471" s="16" t="s">
        <v>13</v>
      </c>
      <c r="B471" s="17" t="s">
        <v>207</v>
      </c>
      <c r="C471" s="17" t="s">
        <v>141</v>
      </c>
      <c r="D471" s="17" t="s">
        <v>69</v>
      </c>
      <c r="E471" s="17" t="s">
        <v>14</v>
      </c>
      <c r="F471" s="17"/>
      <c r="G471" s="236"/>
      <c r="H471" s="236"/>
      <c r="I471" s="215"/>
      <c r="J471" s="214"/>
      <c r="K471" s="192" t="e">
        <f t="shared" si="10"/>
        <v>#DIV/0!</v>
      </c>
    </row>
    <row r="472" spans="1:11" s="45" customFormat="1" ht="12.75" hidden="1">
      <c r="A472" s="43" t="s">
        <v>15</v>
      </c>
      <c r="B472" s="44" t="s">
        <v>207</v>
      </c>
      <c r="C472" s="44" t="s">
        <v>141</v>
      </c>
      <c r="D472" s="44" t="s">
        <v>69</v>
      </c>
      <c r="E472" s="44" t="s">
        <v>16</v>
      </c>
      <c r="F472" s="44"/>
      <c r="G472" s="239"/>
      <c r="H472" s="239"/>
      <c r="I472" s="198"/>
      <c r="J472" s="197"/>
      <c r="K472" s="192" t="e">
        <f t="shared" si="10"/>
        <v>#DIV/0!</v>
      </c>
    </row>
    <row r="473" spans="1:11" s="21" customFormat="1" ht="12.75" hidden="1">
      <c r="A473" s="16" t="s">
        <v>17</v>
      </c>
      <c r="B473" s="17" t="s">
        <v>207</v>
      </c>
      <c r="C473" s="17" t="s">
        <v>141</v>
      </c>
      <c r="D473" s="17" t="s">
        <v>69</v>
      </c>
      <c r="E473" s="17" t="s">
        <v>18</v>
      </c>
      <c r="F473" s="17"/>
      <c r="G473" s="236"/>
      <c r="H473" s="236"/>
      <c r="I473" s="215"/>
      <c r="J473" s="214"/>
      <c r="K473" s="192" t="e">
        <f t="shared" si="10"/>
        <v>#DIV/0!</v>
      </c>
    </row>
    <row r="474" spans="1:11" s="21" customFormat="1" ht="12.75" hidden="1">
      <c r="A474" s="16" t="s">
        <v>21</v>
      </c>
      <c r="B474" s="17" t="s">
        <v>207</v>
      </c>
      <c r="C474" s="17" t="s">
        <v>141</v>
      </c>
      <c r="D474" s="17" t="s">
        <v>69</v>
      </c>
      <c r="E474" s="17" t="s">
        <v>19</v>
      </c>
      <c r="F474" s="17"/>
      <c r="G474" s="236"/>
      <c r="H474" s="236"/>
      <c r="I474" s="215"/>
      <c r="J474" s="214"/>
      <c r="K474" s="192" t="e">
        <f t="shared" si="10"/>
        <v>#DIV/0!</v>
      </c>
    </row>
    <row r="475" spans="1:11" s="21" customFormat="1" ht="25.5" hidden="1">
      <c r="A475" s="11" t="s">
        <v>20</v>
      </c>
      <c r="B475" s="4"/>
      <c r="C475" s="4"/>
      <c r="D475" s="4"/>
      <c r="E475" s="4"/>
      <c r="F475" s="4" t="s">
        <v>183</v>
      </c>
      <c r="G475" s="236"/>
      <c r="H475" s="236"/>
      <c r="I475" s="215"/>
      <c r="J475" s="214"/>
      <c r="K475" s="192" t="e">
        <f t="shared" si="10"/>
        <v>#DIV/0!</v>
      </c>
    </row>
    <row r="476" spans="1:11" s="21" customFormat="1" ht="38.25" hidden="1">
      <c r="A476" s="8" t="s">
        <v>22</v>
      </c>
      <c r="B476" s="4"/>
      <c r="C476" s="4"/>
      <c r="D476" s="4"/>
      <c r="E476" s="4"/>
      <c r="F476" s="4" t="s">
        <v>185</v>
      </c>
      <c r="G476" s="236"/>
      <c r="H476" s="236"/>
      <c r="I476" s="215"/>
      <c r="J476" s="214"/>
      <c r="K476" s="192" t="e">
        <f t="shared" si="10"/>
        <v>#DIV/0!</v>
      </c>
    </row>
    <row r="477" spans="1:11" s="21" customFormat="1" ht="12.75" hidden="1">
      <c r="A477" s="16" t="s">
        <v>23</v>
      </c>
      <c r="B477" s="17" t="s">
        <v>207</v>
      </c>
      <c r="C477" s="17" t="s">
        <v>141</v>
      </c>
      <c r="D477" s="17" t="s">
        <v>69</v>
      </c>
      <c r="E477" s="17" t="s">
        <v>24</v>
      </c>
      <c r="F477" s="17"/>
      <c r="G477" s="236"/>
      <c r="H477" s="236"/>
      <c r="I477" s="215"/>
      <c r="J477" s="214"/>
      <c r="K477" s="192" t="e">
        <f t="shared" si="10"/>
        <v>#DIV/0!</v>
      </c>
    </row>
    <row r="478" spans="1:11" s="21" customFormat="1" ht="25.5" hidden="1">
      <c r="A478" s="7" t="s">
        <v>25</v>
      </c>
      <c r="B478" s="4"/>
      <c r="C478" s="4"/>
      <c r="D478" s="4"/>
      <c r="E478" s="4"/>
      <c r="F478" s="4" t="s">
        <v>186</v>
      </c>
      <c r="G478" s="236"/>
      <c r="H478" s="236"/>
      <c r="I478" s="215"/>
      <c r="J478" s="214"/>
      <c r="K478" s="192" t="e">
        <f t="shared" si="10"/>
        <v>#DIV/0!</v>
      </c>
    </row>
    <row r="479" spans="1:11" s="21" customFormat="1" ht="25.5" hidden="1">
      <c r="A479" s="7" t="s">
        <v>26</v>
      </c>
      <c r="B479" s="4"/>
      <c r="C479" s="4"/>
      <c r="D479" s="4"/>
      <c r="E479" s="4"/>
      <c r="F479" s="4" t="s">
        <v>187</v>
      </c>
      <c r="G479" s="236"/>
      <c r="H479" s="236"/>
      <c r="I479" s="215"/>
      <c r="J479" s="214"/>
      <c r="K479" s="192" t="e">
        <f t="shared" si="10"/>
        <v>#DIV/0!</v>
      </c>
    </row>
    <row r="480" spans="1:11" s="21" customFormat="1" ht="12.75" hidden="1">
      <c r="A480" s="7" t="s">
        <v>27</v>
      </c>
      <c r="B480" s="4"/>
      <c r="C480" s="4"/>
      <c r="D480" s="4"/>
      <c r="E480" s="4"/>
      <c r="F480" s="4" t="s">
        <v>188</v>
      </c>
      <c r="G480" s="236"/>
      <c r="H480" s="236"/>
      <c r="I480" s="215"/>
      <c r="J480" s="214"/>
      <c r="K480" s="192" t="e">
        <f t="shared" si="10"/>
        <v>#DIV/0!</v>
      </c>
    </row>
    <row r="481" spans="1:11" s="21" customFormat="1" ht="14.25" customHeight="1" hidden="1">
      <c r="A481" s="16" t="s">
        <v>28</v>
      </c>
      <c r="B481" s="17" t="s">
        <v>207</v>
      </c>
      <c r="C481" s="17" t="s">
        <v>141</v>
      </c>
      <c r="D481" s="17" t="s">
        <v>69</v>
      </c>
      <c r="E481" s="17" t="s">
        <v>29</v>
      </c>
      <c r="F481" s="17"/>
      <c r="G481" s="236"/>
      <c r="H481" s="236"/>
      <c r="I481" s="215"/>
      <c r="J481" s="214"/>
      <c r="K481" s="192" t="e">
        <f t="shared" si="10"/>
        <v>#DIV/0!</v>
      </c>
    </row>
    <row r="482" spans="1:11" s="21" customFormat="1" ht="12.75" hidden="1">
      <c r="A482" s="16" t="s">
        <v>30</v>
      </c>
      <c r="B482" s="17" t="s">
        <v>207</v>
      </c>
      <c r="C482" s="17" t="s">
        <v>141</v>
      </c>
      <c r="D482" s="17" t="s">
        <v>69</v>
      </c>
      <c r="E482" s="17" t="s">
        <v>31</v>
      </c>
      <c r="F482" s="17"/>
      <c r="G482" s="236"/>
      <c r="H482" s="236"/>
      <c r="I482" s="215"/>
      <c r="J482" s="214"/>
      <c r="K482" s="192" t="e">
        <f t="shared" si="10"/>
        <v>#DIV/0!</v>
      </c>
    </row>
    <row r="483" spans="1:11" s="21" customFormat="1" ht="12.75" hidden="1">
      <c r="A483" s="7" t="s">
        <v>32</v>
      </c>
      <c r="B483" s="17"/>
      <c r="C483" s="17"/>
      <c r="D483" s="17"/>
      <c r="E483" s="17"/>
      <c r="F483" s="17" t="s">
        <v>189</v>
      </c>
      <c r="G483" s="236"/>
      <c r="H483" s="236"/>
      <c r="I483" s="215"/>
      <c r="J483" s="214"/>
      <c r="K483" s="192" t="e">
        <f t="shared" si="10"/>
        <v>#DIV/0!</v>
      </c>
    </row>
    <row r="484" spans="1:11" s="21" customFormat="1" ht="12.75" hidden="1">
      <c r="A484" s="7" t="s">
        <v>33</v>
      </c>
      <c r="B484" s="17"/>
      <c r="C484" s="17"/>
      <c r="D484" s="17"/>
      <c r="E484" s="17"/>
      <c r="F484" s="17" t="s">
        <v>191</v>
      </c>
      <c r="G484" s="236"/>
      <c r="H484" s="236"/>
      <c r="I484" s="215"/>
      <c r="J484" s="214"/>
      <c r="K484" s="192" t="e">
        <f t="shared" si="10"/>
        <v>#DIV/0!</v>
      </c>
    </row>
    <row r="485" spans="1:11" s="21" customFormat="1" ht="25.5" hidden="1">
      <c r="A485" s="7" t="s">
        <v>34</v>
      </c>
      <c r="B485" s="17"/>
      <c r="C485" s="17"/>
      <c r="D485" s="17"/>
      <c r="E485" s="17"/>
      <c r="F485" s="17" t="s">
        <v>221</v>
      </c>
      <c r="G485" s="236"/>
      <c r="H485" s="236"/>
      <c r="I485" s="215"/>
      <c r="J485" s="214"/>
      <c r="K485" s="192" t="e">
        <f t="shared" si="10"/>
        <v>#DIV/0!</v>
      </c>
    </row>
    <row r="486" spans="1:11" s="21" customFormat="1" ht="25.5" hidden="1">
      <c r="A486" s="7" t="s">
        <v>35</v>
      </c>
      <c r="B486" s="17"/>
      <c r="C486" s="17"/>
      <c r="D486" s="17"/>
      <c r="E486" s="17"/>
      <c r="F486" s="17" t="s">
        <v>190</v>
      </c>
      <c r="G486" s="236"/>
      <c r="H486" s="236"/>
      <c r="I486" s="215"/>
      <c r="J486" s="214"/>
      <c r="K486" s="192" t="e">
        <f t="shared" si="10"/>
        <v>#DIV/0!</v>
      </c>
    </row>
    <row r="487" spans="1:11" s="21" customFormat="1" ht="51" hidden="1">
      <c r="A487" s="7" t="s">
        <v>36</v>
      </c>
      <c r="B487" s="17"/>
      <c r="C487" s="17"/>
      <c r="D487" s="17"/>
      <c r="E487" s="17"/>
      <c r="F487" s="17" t="s">
        <v>190</v>
      </c>
      <c r="G487" s="236"/>
      <c r="H487" s="236"/>
      <c r="I487" s="215"/>
      <c r="J487" s="214"/>
      <c r="K487" s="192" t="e">
        <f t="shared" si="10"/>
        <v>#DIV/0!</v>
      </c>
    </row>
    <row r="488" spans="1:11" s="21" customFormat="1" ht="12.75" hidden="1">
      <c r="A488" s="16" t="s">
        <v>37</v>
      </c>
      <c r="B488" s="17" t="s">
        <v>207</v>
      </c>
      <c r="C488" s="17" t="s">
        <v>141</v>
      </c>
      <c r="D488" s="17" t="s">
        <v>69</v>
      </c>
      <c r="E488" s="17" t="s">
        <v>38</v>
      </c>
      <c r="F488" s="17"/>
      <c r="G488" s="236"/>
      <c r="H488" s="236"/>
      <c r="I488" s="215"/>
      <c r="J488" s="214"/>
      <c r="K488" s="192" t="e">
        <f t="shared" si="10"/>
        <v>#DIV/0!</v>
      </c>
    </row>
    <row r="489" spans="1:11" s="21" customFormat="1" ht="38.25" hidden="1">
      <c r="A489" s="11" t="s">
        <v>39</v>
      </c>
      <c r="B489" s="20"/>
      <c r="C489" s="20"/>
      <c r="D489" s="20"/>
      <c r="E489" s="20"/>
      <c r="F489" s="20" t="s">
        <v>183</v>
      </c>
      <c r="G489" s="236"/>
      <c r="H489" s="236"/>
      <c r="I489" s="215"/>
      <c r="J489" s="214"/>
      <c r="K489" s="192" t="e">
        <f t="shared" si="10"/>
        <v>#DIV/0!</v>
      </c>
    </row>
    <row r="490" spans="1:11" s="21" customFormat="1" ht="38.25" hidden="1">
      <c r="A490" s="19" t="s">
        <v>40</v>
      </c>
      <c r="B490" s="20"/>
      <c r="C490" s="20"/>
      <c r="D490" s="20"/>
      <c r="E490" s="20"/>
      <c r="F490" s="20" t="s">
        <v>222</v>
      </c>
      <c r="G490" s="236"/>
      <c r="H490" s="236"/>
      <c r="I490" s="215"/>
      <c r="J490" s="214"/>
      <c r="K490" s="192" t="e">
        <f t="shared" si="10"/>
        <v>#DIV/0!</v>
      </c>
    </row>
    <row r="491" spans="1:11" s="21" customFormat="1" ht="24.75" customHeight="1" hidden="1">
      <c r="A491" s="12" t="s">
        <v>41</v>
      </c>
      <c r="B491" s="20"/>
      <c r="C491" s="20"/>
      <c r="D491" s="20"/>
      <c r="E491" s="20"/>
      <c r="F491" s="20" t="s">
        <v>192</v>
      </c>
      <c r="G491" s="236"/>
      <c r="H491" s="236"/>
      <c r="I491" s="215"/>
      <c r="J491" s="214"/>
      <c r="K491" s="192" t="e">
        <f t="shared" si="10"/>
        <v>#DIV/0!</v>
      </c>
    </row>
    <row r="492" spans="1:11" s="45" customFormat="1" ht="12.75" hidden="1">
      <c r="A492" s="43" t="s">
        <v>42</v>
      </c>
      <c r="B492" s="44" t="s">
        <v>207</v>
      </c>
      <c r="C492" s="44" t="s">
        <v>141</v>
      </c>
      <c r="D492" s="44" t="s">
        <v>69</v>
      </c>
      <c r="E492" s="44" t="s">
        <v>43</v>
      </c>
      <c r="F492" s="44"/>
      <c r="G492" s="239"/>
      <c r="H492" s="239"/>
      <c r="I492" s="198"/>
      <c r="J492" s="197"/>
      <c r="K492" s="192" t="e">
        <f t="shared" si="10"/>
        <v>#DIV/0!</v>
      </c>
    </row>
    <row r="493" spans="1:11" s="21" customFormat="1" ht="12.75" hidden="1">
      <c r="A493" s="16" t="s">
        <v>44</v>
      </c>
      <c r="B493" s="17" t="s">
        <v>207</v>
      </c>
      <c r="C493" s="17" t="s">
        <v>141</v>
      </c>
      <c r="D493" s="17" t="s">
        <v>69</v>
      </c>
      <c r="E493" s="17" t="s">
        <v>45</v>
      </c>
      <c r="F493" s="17"/>
      <c r="G493" s="236"/>
      <c r="H493" s="236"/>
      <c r="I493" s="215"/>
      <c r="J493" s="214"/>
      <c r="K493" s="192" t="e">
        <f t="shared" si="10"/>
        <v>#DIV/0!</v>
      </c>
    </row>
    <row r="494" spans="1:11" s="21" customFormat="1" ht="12.75" hidden="1">
      <c r="A494" s="6" t="s">
        <v>46</v>
      </c>
      <c r="B494" s="20"/>
      <c r="C494" s="20"/>
      <c r="D494" s="20"/>
      <c r="E494" s="20"/>
      <c r="F494" s="20"/>
      <c r="G494" s="236"/>
      <c r="H494" s="236"/>
      <c r="I494" s="215"/>
      <c r="J494" s="214"/>
      <c r="K494" s="192" t="e">
        <f t="shared" si="10"/>
        <v>#DIV/0!</v>
      </c>
    </row>
    <row r="495" spans="1:11" s="45" customFormat="1" ht="12.75" hidden="1">
      <c r="A495" s="43" t="s">
        <v>47</v>
      </c>
      <c r="B495" s="44" t="s">
        <v>207</v>
      </c>
      <c r="C495" s="44" t="s">
        <v>141</v>
      </c>
      <c r="D495" s="44" t="s">
        <v>69</v>
      </c>
      <c r="E495" s="44" t="s">
        <v>48</v>
      </c>
      <c r="F495" s="44"/>
      <c r="G495" s="239"/>
      <c r="H495" s="239"/>
      <c r="I495" s="198"/>
      <c r="J495" s="197"/>
      <c r="K495" s="192" t="e">
        <f t="shared" si="10"/>
        <v>#DIV/0!</v>
      </c>
    </row>
    <row r="496" spans="1:11" s="21" customFormat="1" ht="24" customHeight="1" hidden="1">
      <c r="A496" s="12" t="s">
        <v>41</v>
      </c>
      <c r="B496" s="20"/>
      <c r="C496" s="20"/>
      <c r="D496" s="20"/>
      <c r="E496" s="20"/>
      <c r="F496" s="20"/>
      <c r="G496" s="236"/>
      <c r="H496" s="236"/>
      <c r="I496" s="215"/>
      <c r="J496" s="214"/>
      <c r="K496" s="192" t="e">
        <f t="shared" si="10"/>
        <v>#DIV/0!</v>
      </c>
    </row>
    <row r="497" spans="1:11" s="45" customFormat="1" ht="12.75" hidden="1">
      <c r="A497" s="43" t="s">
        <v>49</v>
      </c>
      <c r="B497" s="44" t="s">
        <v>207</v>
      </c>
      <c r="C497" s="44" t="s">
        <v>141</v>
      </c>
      <c r="D497" s="44" t="s">
        <v>69</v>
      </c>
      <c r="E497" s="44" t="s">
        <v>50</v>
      </c>
      <c r="F497" s="44"/>
      <c r="G497" s="239"/>
      <c r="H497" s="239"/>
      <c r="I497" s="198"/>
      <c r="J497" s="197"/>
      <c r="K497" s="192" t="e">
        <f t="shared" si="10"/>
        <v>#DIV/0!</v>
      </c>
    </row>
    <row r="498" spans="1:11" s="21" customFormat="1" ht="12.75" hidden="1">
      <c r="A498" s="16" t="s">
        <v>51</v>
      </c>
      <c r="B498" s="17" t="s">
        <v>207</v>
      </c>
      <c r="C498" s="17" t="s">
        <v>141</v>
      </c>
      <c r="D498" s="17" t="s">
        <v>69</v>
      </c>
      <c r="E498" s="17" t="s">
        <v>52</v>
      </c>
      <c r="F498" s="17"/>
      <c r="G498" s="236"/>
      <c r="H498" s="236"/>
      <c r="I498" s="215"/>
      <c r="J498" s="214"/>
      <c r="K498" s="192" t="e">
        <f t="shared" si="10"/>
        <v>#DIV/0!</v>
      </c>
    </row>
    <row r="499" spans="1:11" s="21" customFormat="1" ht="12.75" hidden="1">
      <c r="A499" s="7" t="s">
        <v>53</v>
      </c>
      <c r="B499" s="20"/>
      <c r="C499" s="20"/>
      <c r="D499" s="20"/>
      <c r="E499" s="20"/>
      <c r="F499" s="20" t="s">
        <v>223</v>
      </c>
      <c r="G499" s="236"/>
      <c r="H499" s="236"/>
      <c r="I499" s="215"/>
      <c r="J499" s="214"/>
      <c r="K499" s="192" t="e">
        <f t="shared" si="10"/>
        <v>#DIV/0!</v>
      </c>
    </row>
    <row r="500" spans="1:11" s="21" customFormat="1" ht="51" hidden="1">
      <c r="A500" s="7" t="s">
        <v>54</v>
      </c>
      <c r="B500" s="20"/>
      <c r="C500" s="20"/>
      <c r="D500" s="20"/>
      <c r="E500" s="20"/>
      <c r="F500" s="20" t="s">
        <v>194</v>
      </c>
      <c r="G500" s="236"/>
      <c r="H500" s="236"/>
      <c r="I500" s="215"/>
      <c r="J500" s="214"/>
      <c r="K500" s="192" t="e">
        <f t="shared" si="10"/>
        <v>#DIV/0!</v>
      </c>
    </row>
    <row r="501" spans="1:11" s="21" customFormat="1" ht="50.25" customHeight="1" hidden="1">
      <c r="A501" s="7" t="s">
        <v>55</v>
      </c>
      <c r="B501" s="20"/>
      <c r="C501" s="20"/>
      <c r="D501" s="20"/>
      <c r="E501" s="20"/>
      <c r="F501" s="20" t="s">
        <v>193</v>
      </c>
      <c r="G501" s="236"/>
      <c r="H501" s="236"/>
      <c r="I501" s="215"/>
      <c r="J501" s="214"/>
      <c r="K501" s="192" t="e">
        <f t="shared" si="10"/>
        <v>#DIV/0!</v>
      </c>
    </row>
    <row r="502" spans="1:11" s="21" customFormat="1" ht="15" customHeight="1" hidden="1">
      <c r="A502" s="16" t="s">
        <v>56</v>
      </c>
      <c r="B502" s="17" t="s">
        <v>207</v>
      </c>
      <c r="C502" s="17" t="s">
        <v>141</v>
      </c>
      <c r="D502" s="17" t="s">
        <v>69</v>
      </c>
      <c r="E502" s="17" t="s">
        <v>57</v>
      </c>
      <c r="F502" s="17"/>
      <c r="G502" s="236"/>
      <c r="H502" s="236"/>
      <c r="I502" s="215"/>
      <c r="J502" s="214"/>
      <c r="K502" s="192" t="e">
        <f t="shared" si="10"/>
        <v>#DIV/0!</v>
      </c>
    </row>
    <row r="503" spans="1:11" s="21" customFormat="1" ht="25.5" hidden="1">
      <c r="A503" s="7" t="s">
        <v>58</v>
      </c>
      <c r="B503" s="20"/>
      <c r="C503" s="20"/>
      <c r="D503" s="20"/>
      <c r="E503" s="20"/>
      <c r="F503" s="20" t="s">
        <v>195</v>
      </c>
      <c r="G503" s="236"/>
      <c r="H503" s="236"/>
      <c r="I503" s="215"/>
      <c r="J503" s="214"/>
      <c r="K503" s="192" t="e">
        <f t="shared" si="10"/>
        <v>#DIV/0!</v>
      </c>
    </row>
    <row r="504" spans="1:11" s="21" customFormat="1" ht="12.75" hidden="1">
      <c r="A504" s="7" t="s">
        <v>59</v>
      </c>
      <c r="B504" s="20"/>
      <c r="C504" s="20"/>
      <c r="D504" s="20"/>
      <c r="E504" s="20"/>
      <c r="F504" s="20" t="s">
        <v>196</v>
      </c>
      <c r="G504" s="236"/>
      <c r="H504" s="236"/>
      <c r="I504" s="215"/>
      <c r="J504" s="214"/>
      <c r="K504" s="192" t="e">
        <f t="shared" si="10"/>
        <v>#DIV/0!</v>
      </c>
    </row>
    <row r="505" spans="1:11" s="21" customFormat="1" ht="12.75" hidden="1">
      <c r="A505" s="7" t="s">
        <v>60</v>
      </c>
      <c r="B505" s="20"/>
      <c r="C505" s="20"/>
      <c r="D505" s="20"/>
      <c r="E505" s="20"/>
      <c r="F505" s="20" t="s">
        <v>197</v>
      </c>
      <c r="G505" s="236"/>
      <c r="H505" s="236"/>
      <c r="I505" s="215"/>
      <c r="J505" s="214"/>
      <c r="K505" s="192" t="e">
        <f t="shared" si="10"/>
        <v>#DIV/0!</v>
      </c>
    </row>
    <row r="506" spans="1:11" s="21" customFormat="1" ht="38.25" hidden="1">
      <c r="A506" s="7" t="s">
        <v>61</v>
      </c>
      <c r="B506" s="20"/>
      <c r="C506" s="20"/>
      <c r="D506" s="20"/>
      <c r="E506" s="20"/>
      <c r="F506" s="20" t="s">
        <v>198</v>
      </c>
      <c r="G506" s="236"/>
      <c r="H506" s="236"/>
      <c r="I506" s="215"/>
      <c r="J506" s="214"/>
      <c r="K506" s="192" t="e">
        <f t="shared" si="10"/>
        <v>#DIV/0!</v>
      </c>
    </row>
    <row r="507" spans="1:11" s="21" customFormat="1" ht="25.5" hidden="1">
      <c r="A507" s="26" t="s">
        <v>72</v>
      </c>
      <c r="B507" s="24" t="s">
        <v>158</v>
      </c>
      <c r="C507" s="24" t="s">
        <v>140</v>
      </c>
      <c r="D507" s="24" t="s">
        <v>69</v>
      </c>
      <c r="E507" s="24"/>
      <c r="F507" s="24"/>
      <c r="G507" s="236"/>
      <c r="H507" s="236"/>
      <c r="I507" s="215"/>
      <c r="J507" s="214"/>
      <c r="K507" s="192" t="e">
        <f t="shared" si="10"/>
        <v>#DIV/0!</v>
      </c>
    </row>
    <row r="508" spans="1:11" s="45" customFormat="1" ht="15.75" customHeight="1" hidden="1">
      <c r="A508" s="43" t="s">
        <v>4</v>
      </c>
      <c r="B508" s="44" t="s">
        <v>158</v>
      </c>
      <c r="C508" s="44" t="s">
        <v>140</v>
      </c>
      <c r="D508" s="44" t="s">
        <v>69</v>
      </c>
      <c r="E508" s="44" t="s">
        <v>5</v>
      </c>
      <c r="F508" s="44"/>
      <c r="G508" s="239"/>
      <c r="H508" s="239"/>
      <c r="I508" s="198"/>
      <c r="J508" s="197"/>
      <c r="K508" s="192" t="e">
        <f t="shared" si="10"/>
        <v>#DIV/0!</v>
      </c>
    </row>
    <row r="509" spans="1:11" s="21" customFormat="1" ht="12.75" hidden="1">
      <c r="A509" s="16" t="s">
        <v>6</v>
      </c>
      <c r="B509" s="17" t="s">
        <v>158</v>
      </c>
      <c r="C509" s="17" t="s">
        <v>140</v>
      </c>
      <c r="D509" s="17" t="s">
        <v>69</v>
      </c>
      <c r="E509" s="17" t="s">
        <v>7</v>
      </c>
      <c r="F509" s="17"/>
      <c r="G509" s="236"/>
      <c r="H509" s="236"/>
      <c r="I509" s="215"/>
      <c r="J509" s="214"/>
      <c r="K509" s="192" t="e">
        <f t="shared" si="10"/>
        <v>#DIV/0!</v>
      </c>
    </row>
    <row r="510" spans="1:11" s="21" customFormat="1" ht="12.75" hidden="1">
      <c r="A510" s="16" t="s">
        <v>8</v>
      </c>
      <c r="B510" s="17" t="s">
        <v>158</v>
      </c>
      <c r="C510" s="17" t="s">
        <v>140</v>
      </c>
      <c r="D510" s="17" t="s">
        <v>69</v>
      </c>
      <c r="E510" s="17" t="s">
        <v>9</v>
      </c>
      <c r="F510" s="17"/>
      <c r="G510" s="236"/>
      <c r="H510" s="236"/>
      <c r="I510" s="215"/>
      <c r="J510" s="214"/>
      <c r="K510" s="192" t="e">
        <f t="shared" si="10"/>
        <v>#DIV/0!</v>
      </c>
    </row>
    <row r="511" spans="1:11" s="21" customFormat="1" ht="25.5" hidden="1">
      <c r="A511" s="11" t="s">
        <v>10</v>
      </c>
      <c r="B511" s="4"/>
      <c r="C511" s="4"/>
      <c r="D511" s="4"/>
      <c r="E511" s="4"/>
      <c r="F511" s="4" t="s">
        <v>183</v>
      </c>
      <c r="G511" s="236"/>
      <c r="H511" s="236"/>
      <c r="I511" s="215"/>
      <c r="J511" s="214"/>
      <c r="K511" s="192" t="e">
        <f t="shared" si="10"/>
        <v>#DIV/0!</v>
      </c>
    </row>
    <row r="512" spans="1:11" s="21" customFormat="1" ht="15.75" customHeight="1" hidden="1">
      <c r="A512" s="12" t="s">
        <v>11</v>
      </c>
      <c r="B512" s="4"/>
      <c r="C512" s="4"/>
      <c r="D512" s="4"/>
      <c r="E512" s="4"/>
      <c r="F512" s="4" t="s">
        <v>200</v>
      </c>
      <c r="G512" s="236"/>
      <c r="H512" s="236"/>
      <c r="I512" s="215"/>
      <c r="J512" s="214"/>
      <c r="K512" s="192" t="e">
        <f t="shared" si="10"/>
        <v>#DIV/0!</v>
      </c>
    </row>
    <row r="513" spans="1:11" s="30" customFormat="1" ht="10.5" customHeight="1" hidden="1">
      <c r="A513" s="65" t="s">
        <v>130</v>
      </c>
      <c r="B513" s="29"/>
      <c r="C513" s="29"/>
      <c r="D513" s="29"/>
      <c r="E513" s="29"/>
      <c r="F513" s="29" t="s">
        <v>199</v>
      </c>
      <c r="G513" s="254"/>
      <c r="H513" s="254"/>
      <c r="I513" s="205"/>
      <c r="J513" s="212"/>
      <c r="K513" s="192" t="e">
        <f t="shared" si="10"/>
        <v>#DIV/0!</v>
      </c>
    </row>
    <row r="514" spans="1:11" s="21" customFormat="1" ht="25.5" hidden="1">
      <c r="A514" s="6" t="s">
        <v>12</v>
      </c>
      <c r="B514" s="4"/>
      <c r="C514" s="4"/>
      <c r="D514" s="4"/>
      <c r="E514" s="4"/>
      <c r="F514" s="4" t="s">
        <v>184</v>
      </c>
      <c r="G514" s="236"/>
      <c r="H514" s="236"/>
      <c r="I514" s="215"/>
      <c r="J514" s="214"/>
      <c r="K514" s="192" t="e">
        <f t="shared" si="10"/>
        <v>#DIV/0!</v>
      </c>
    </row>
    <row r="515" spans="1:11" s="21" customFormat="1" ht="12.75" hidden="1">
      <c r="A515" s="16" t="s">
        <v>13</v>
      </c>
      <c r="B515" s="17" t="s">
        <v>158</v>
      </c>
      <c r="C515" s="17" t="s">
        <v>140</v>
      </c>
      <c r="D515" s="17" t="s">
        <v>69</v>
      </c>
      <c r="E515" s="17" t="s">
        <v>14</v>
      </c>
      <c r="F515" s="17"/>
      <c r="G515" s="236"/>
      <c r="H515" s="236"/>
      <c r="I515" s="215"/>
      <c r="J515" s="214"/>
      <c r="K515" s="192" t="e">
        <f t="shared" si="10"/>
        <v>#DIV/0!</v>
      </c>
    </row>
    <row r="516" spans="1:11" s="45" customFormat="1" ht="12.75" hidden="1">
      <c r="A516" s="43" t="s">
        <v>15</v>
      </c>
      <c r="B516" s="44" t="s">
        <v>158</v>
      </c>
      <c r="C516" s="44" t="s">
        <v>140</v>
      </c>
      <c r="D516" s="44" t="s">
        <v>69</v>
      </c>
      <c r="E516" s="44" t="s">
        <v>16</v>
      </c>
      <c r="F516" s="44"/>
      <c r="G516" s="239"/>
      <c r="H516" s="239"/>
      <c r="I516" s="198"/>
      <c r="J516" s="197"/>
      <c r="K516" s="192" t="e">
        <f t="shared" si="10"/>
        <v>#DIV/0!</v>
      </c>
    </row>
    <row r="517" spans="1:11" s="21" customFormat="1" ht="12.75" hidden="1">
      <c r="A517" s="16" t="s">
        <v>17</v>
      </c>
      <c r="B517" s="17" t="s">
        <v>158</v>
      </c>
      <c r="C517" s="17" t="s">
        <v>140</v>
      </c>
      <c r="D517" s="17" t="s">
        <v>69</v>
      </c>
      <c r="E517" s="17" t="s">
        <v>18</v>
      </c>
      <c r="F517" s="17"/>
      <c r="G517" s="236"/>
      <c r="H517" s="236"/>
      <c r="I517" s="215"/>
      <c r="J517" s="214"/>
      <c r="K517" s="192" t="e">
        <f t="shared" si="10"/>
        <v>#DIV/0!</v>
      </c>
    </row>
    <row r="518" spans="1:11" s="21" customFormat="1" ht="12.75" hidden="1">
      <c r="A518" s="16" t="s">
        <v>21</v>
      </c>
      <c r="B518" s="17" t="s">
        <v>158</v>
      </c>
      <c r="C518" s="17" t="s">
        <v>140</v>
      </c>
      <c r="D518" s="17" t="s">
        <v>69</v>
      </c>
      <c r="E518" s="17" t="s">
        <v>19</v>
      </c>
      <c r="F518" s="17"/>
      <c r="G518" s="236"/>
      <c r="H518" s="236"/>
      <c r="I518" s="215"/>
      <c r="J518" s="214"/>
      <c r="K518" s="192" t="e">
        <f t="shared" si="10"/>
        <v>#DIV/0!</v>
      </c>
    </row>
    <row r="519" spans="1:11" s="21" customFormat="1" ht="25.5" hidden="1">
      <c r="A519" s="11" t="s">
        <v>20</v>
      </c>
      <c r="B519" s="4"/>
      <c r="C519" s="4"/>
      <c r="D519" s="4"/>
      <c r="E519" s="4"/>
      <c r="F519" s="4" t="s">
        <v>183</v>
      </c>
      <c r="G519" s="236"/>
      <c r="H519" s="236"/>
      <c r="I519" s="215"/>
      <c r="J519" s="214"/>
      <c r="K519" s="192" t="e">
        <f t="shared" si="10"/>
        <v>#DIV/0!</v>
      </c>
    </row>
    <row r="520" spans="1:11" s="21" customFormat="1" ht="38.25" hidden="1">
      <c r="A520" s="8" t="s">
        <v>22</v>
      </c>
      <c r="B520" s="4"/>
      <c r="C520" s="4"/>
      <c r="D520" s="4"/>
      <c r="E520" s="4"/>
      <c r="F520" s="4" t="s">
        <v>185</v>
      </c>
      <c r="G520" s="236"/>
      <c r="H520" s="236"/>
      <c r="I520" s="215"/>
      <c r="J520" s="214"/>
      <c r="K520" s="192" t="e">
        <f t="shared" si="10"/>
        <v>#DIV/0!</v>
      </c>
    </row>
    <row r="521" spans="1:11" s="21" customFormat="1" ht="12.75" hidden="1">
      <c r="A521" s="16" t="s">
        <v>23</v>
      </c>
      <c r="B521" s="17" t="s">
        <v>158</v>
      </c>
      <c r="C521" s="17" t="s">
        <v>140</v>
      </c>
      <c r="D521" s="17" t="s">
        <v>69</v>
      </c>
      <c r="E521" s="17" t="s">
        <v>24</v>
      </c>
      <c r="F521" s="17"/>
      <c r="G521" s="236"/>
      <c r="H521" s="236"/>
      <c r="I521" s="215"/>
      <c r="J521" s="214"/>
      <c r="K521" s="192" t="e">
        <f t="shared" si="10"/>
        <v>#DIV/0!</v>
      </c>
    </row>
    <row r="522" spans="1:11" s="21" customFormat="1" ht="25.5" hidden="1">
      <c r="A522" s="7" t="s">
        <v>25</v>
      </c>
      <c r="B522" s="4"/>
      <c r="C522" s="4"/>
      <c r="D522" s="4"/>
      <c r="E522" s="4"/>
      <c r="F522" s="4" t="s">
        <v>186</v>
      </c>
      <c r="G522" s="236"/>
      <c r="H522" s="236"/>
      <c r="I522" s="215"/>
      <c r="J522" s="214"/>
      <c r="K522" s="192" t="e">
        <f t="shared" si="10"/>
        <v>#DIV/0!</v>
      </c>
    </row>
    <row r="523" spans="1:11" s="21" customFormat="1" ht="25.5" hidden="1">
      <c r="A523" s="7" t="s">
        <v>26</v>
      </c>
      <c r="B523" s="4"/>
      <c r="C523" s="4"/>
      <c r="D523" s="4"/>
      <c r="E523" s="4"/>
      <c r="F523" s="4" t="s">
        <v>187</v>
      </c>
      <c r="G523" s="236"/>
      <c r="H523" s="236"/>
      <c r="I523" s="215"/>
      <c r="J523" s="214"/>
      <c r="K523" s="192" t="e">
        <f aca="true" t="shared" si="11" ref="K523:K586">J523*100/I523</f>
        <v>#DIV/0!</v>
      </c>
    </row>
    <row r="524" spans="1:11" s="21" customFormat="1" ht="12.75" hidden="1">
      <c r="A524" s="7" t="s">
        <v>27</v>
      </c>
      <c r="B524" s="4"/>
      <c r="C524" s="4"/>
      <c r="D524" s="4"/>
      <c r="E524" s="4"/>
      <c r="F524" s="4" t="s">
        <v>188</v>
      </c>
      <c r="G524" s="236"/>
      <c r="H524" s="236"/>
      <c r="I524" s="215"/>
      <c r="J524" s="214"/>
      <c r="K524" s="192" t="e">
        <f t="shared" si="11"/>
        <v>#DIV/0!</v>
      </c>
    </row>
    <row r="525" spans="1:11" s="21" customFormat="1" ht="9.75" customHeight="1" hidden="1">
      <c r="A525" s="16" t="s">
        <v>28</v>
      </c>
      <c r="B525" s="17" t="s">
        <v>158</v>
      </c>
      <c r="C525" s="17" t="s">
        <v>140</v>
      </c>
      <c r="D525" s="17" t="s">
        <v>69</v>
      </c>
      <c r="E525" s="17" t="s">
        <v>29</v>
      </c>
      <c r="F525" s="17"/>
      <c r="G525" s="236"/>
      <c r="H525" s="236"/>
      <c r="I525" s="215"/>
      <c r="J525" s="214"/>
      <c r="K525" s="192" t="e">
        <f t="shared" si="11"/>
        <v>#DIV/0!</v>
      </c>
    </row>
    <row r="526" spans="1:11" s="21" customFormat="1" ht="12.75" hidden="1">
      <c r="A526" s="16" t="s">
        <v>30</v>
      </c>
      <c r="B526" s="17" t="s">
        <v>158</v>
      </c>
      <c r="C526" s="17" t="s">
        <v>140</v>
      </c>
      <c r="D526" s="17" t="s">
        <v>69</v>
      </c>
      <c r="E526" s="17" t="s">
        <v>31</v>
      </c>
      <c r="F526" s="17"/>
      <c r="G526" s="236"/>
      <c r="H526" s="236"/>
      <c r="I526" s="215"/>
      <c r="J526" s="214"/>
      <c r="K526" s="192" t="e">
        <f t="shared" si="11"/>
        <v>#DIV/0!</v>
      </c>
    </row>
    <row r="527" spans="1:11" s="21" customFormat="1" ht="12.75" hidden="1">
      <c r="A527" s="7" t="s">
        <v>32</v>
      </c>
      <c r="B527" s="17"/>
      <c r="C527" s="17"/>
      <c r="D527" s="17"/>
      <c r="E527" s="17"/>
      <c r="F527" s="17" t="s">
        <v>189</v>
      </c>
      <c r="G527" s="236"/>
      <c r="H527" s="236"/>
      <c r="I527" s="215"/>
      <c r="J527" s="214"/>
      <c r="K527" s="192" t="e">
        <f t="shared" si="11"/>
        <v>#DIV/0!</v>
      </c>
    </row>
    <row r="528" spans="1:11" s="21" customFormat="1" ht="12.75" hidden="1">
      <c r="A528" s="7" t="s">
        <v>33</v>
      </c>
      <c r="B528" s="17"/>
      <c r="C528" s="17"/>
      <c r="D528" s="17"/>
      <c r="E528" s="17"/>
      <c r="F528" s="17" t="s">
        <v>191</v>
      </c>
      <c r="G528" s="236"/>
      <c r="H528" s="236"/>
      <c r="I528" s="215"/>
      <c r="J528" s="214"/>
      <c r="K528" s="192" t="e">
        <f t="shared" si="11"/>
        <v>#DIV/0!</v>
      </c>
    </row>
    <row r="529" spans="1:11" s="21" customFormat="1" ht="25.5" hidden="1">
      <c r="A529" s="7" t="s">
        <v>34</v>
      </c>
      <c r="B529" s="17"/>
      <c r="C529" s="17"/>
      <c r="D529" s="17"/>
      <c r="E529" s="17"/>
      <c r="F529" s="17" t="s">
        <v>221</v>
      </c>
      <c r="G529" s="236"/>
      <c r="H529" s="236"/>
      <c r="I529" s="215"/>
      <c r="J529" s="214"/>
      <c r="K529" s="192" t="e">
        <f t="shared" si="11"/>
        <v>#DIV/0!</v>
      </c>
    </row>
    <row r="530" spans="1:11" s="21" customFormat="1" ht="25.5" hidden="1">
      <c r="A530" s="7" t="s">
        <v>35</v>
      </c>
      <c r="B530" s="17"/>
      <c r="C530" s="17"/>
      <c r="D530" s="17"/>
      <c r="E530" s="17"/>
      <c r="F530" s="17" t="s">
        <v>190</v>
      </c>
      <c r="G530" s="236"/>
      <c r="H530" s="236"/>
      <c r="I530" s="215"/>
      <c r="J530" s="214"/>
      <c r="K530" s="192" t="e">
        <f t="shared" si="11"/>
        <v>#DIV/0!</v>
      </c>
    </row>
    <row r="531" spans="1:11" s="21" customFormat="1" ht="51" hidden="1">
      <c r="A531" s="7" t="s">
        <v>36</v>
      </c>
      <c r="B531" s="17"/>
      <c r="C531" s="17"/>
      <c r="D531" s="17"/>
      <c r="E531" s="17"/>
      <c r="F531" s="17" t="s">
        <v>190</v>
      </c>
      <c r="G531" s="236"/>
      <c r="H531" s="236"/>
      <c r="I531" s="215"/>
      <c r="J531" s="214"/>
      <c r="K531" s="192" t="e">
        <f t="shared" si="11"/>
        <v>#DIV/0!</v>
      </c>
    </row>
    <row r="532" spans="1:11" s="21" customFormat="1" ht="12.75" hidden="1">
      <c r="A532" s="16" t="s">
        <v>37</v>
      </c>
      <c r="B532" s="17" t="s">
        <v>158</v>
      </c>
      <c r="C532" s="17" t="s">
        <v>140</v>
      </c>
      <c r="D532" s="17" t="s">
        <v>69</v>
      </c>
      <c r="E532" s="17" t="s">
        <v>38</v>
      </c>
      <c r="F532" s="17"/>
      <c r="G532" s="236"/>
      <c r="H532" s="236"/>
      <c r="I532" s="215"/>
      <c r="J532" s="214"/>
      <c r="K532" s="192" t="e">
        <f t="shared" si="11"/>
        <v>#DIV/0!</v>
      </c>
    </row>
    <row r="533" spans="1:11" s="21" customFormat="1" ht="38.25" hidden="1">
      <c r="A533" s="11" t="s">
        <v>39</v>
      </c>
      <c r="B533" s="20"/>
      <c r="C533" s="20"/>
      <c r="D533" s="20"/>
      <c r="E533" s="20"/>
      <c r="F533" s="20" t="s">
        <v>183</v>
      </c>
      <c r="G533" s="236"/>
      <c r="H533" s="236"/>
      <c r="I533" s="215"/>
      <c r="J533" s="214"/>
      <c r="K533" s="192" t="e">
        <f t="shared" si="11"/>
        <v>#DIV/0!</v>
      </c>
    </row>
    <row r="534" spans="1:11" s="21" customFormat="1" ht="38.25" hidden="1">
      <c r="A534" s="19" t="s">
        <v>40</v>
      </c>
      <c r="B534" s="20"/>
      <c r="C534" s="20"/>
      <c r="D534" s="20"/>
      <c r="E534" s="20"/>
      <c r="F534" s="20" t="s">
        <v>222</v>
      </c>
      <c r="G534" s="236"/>
      <c r="H534" s="236"/>
      <c r="I534" s="215"/>
      <c r="J534" s="214"/>
      <c r="K534" s="192" t="e">
        <f t="shared" si="11"/>
        <v>#DIV/0!</v>
      </c>
    </row>
    <row r="535" spans="1:11" s="21" customFormat="1" ht="24.75" customHeight="1" hidden="1">
      <c r="A535" s="12" t="s">
        <v>41</v>
      </c>
      <c r="B535" s="20"/>
      <c r="C535" s="20"/>
      <c r="D535" s="20"/>
      <c r="E535" s="20"/>
      <c r="F535" s="20" t="s">
        <v>192</v>
      </c>
      <c r="G535" s="236"/>
      <c r="H535" s="236"/>
      <c r="I535" s="215"/>
      <c r="J535" s="214"/>
      <c r="K535" s="192" t="e">
        <f t="shared" si="11"/>
        <v>#DIV/0!</v>
      </c>
    </row>
    <row r="536" spans="1:11" s="45" customFormat="1" ht="12.75" hidden="1">
      <c r="A536" s="43" t="s">
        <v>42</v>
      </c>
      <c r="B536" s="44" t="s">
        <v>158</v>
      </c>
      <c r="C536" s="44" t="s">
        <v>140</v>
      </c>
      <c r="D536" s="44" t="s">
        <v>69</v>
      </c>
      <c r="E536" s="44" t="s">
        <v>43</v>
      </c>
      <c r="F536" s="44"/>
      <c r="G536" s="239"/>
      <c r="H536" s="239"/>
      <c r="I536" s="198"/>
      <c r="J536" s="197"/>
      <c r="K536" s="192" t="e">
        <f t="shared" si="11"/>
        <v>#DIV/0!</v>
      </c>
    </row>
    <row r="537" spans="1:11" s="21" customFormat="1" ht="12.75" hidden="1">
      <c r="A537" s="16" t="s">
        <v>44</v>
      </c>
      <c r="B537" s="17" t="s">
        <v>158</v>
      </c>
      <c r="C537" s="17" t="s">
        <v>140</v>
      </c>
      <c r="D537" s="17" t="s">
        <v>69</v>
      </c>
      <c r="E537" s="17" t="s">
        <v>45</v>
      </c>
      <c r="F537" s="17"/>
      <c r="G537" s="236"/>
      <c r="H537" s="236"/>
      <c r="I537" s="215"/>
      <c r="J537" s="214"/>
      <c r="K537" s="192" t="e">
        <f t="shared" si="11"/>
        <v>#DIV/0!</v>
      </c>
    </row>
    <row r="538" spans="1:11" s="21" customFormat="1" ht="12.75" hidden="1">
      <c r="A538" s="6" t="s">
        <v>46</v>
      </c>
      <c r="B538" s="20"/>
      <c r="C538" s="20"/>
      <c r="D538" s="20"/>
      <c r="E538" s="20"/>
      <c r="F538" s="20"/>
      <c r="G538" s="236"/>
      <c r="H538" s="236"/>
      <c r="I538" s="215"/>
      <c r="J538" s="214"/>
      <c r="K538" s="192" t="e">
        <f t="shared" si="11"/>
        <v>#DIV/0!</v>
      </c>
    </row>
    <row r="539" spans="1:11" s="45" customFormat="1" ht="12.75" hidden="1">
      <c r="A539" s="43" t="s">
        <v>47</v>
      </c>
      <c r="B539" s="44" t="s">
        <v>158</v>
      </c>
      <c r="C539" s="44" t="s">
        <v>140</v>
      </c>
      <c r="D539" s="44" t="s">
        <v>69</v>
      </c>
      <c r="E539" s="44" t="s">
        <v>48</v>
      </c>
      <c r="F539" s="44"/>
      <c r="G539" s="239"/>
      <c r="H539" s="239"/>
      <c r="I539" s="198"/>
      <c r="J539" s="197"/>
      <c r="K539" s="192" t="e">
        <f t="shared" si="11"/>
        <v>#DIV/0!</v>
      </c>
    </row>
    <row r="540" spans="1:11" s="21" customFormat="1" ht="25.5" customHeight="1" hidden="1">
      <c r="A540" s="12" t="s">
        <v>41</v>
      </c>
      <c r="B540" s="20"/>
      <c r="C540" s="20"/>
      <c r="D540" s="20"/>
      <c r="E540" s="20"/>
      <c r="F540" s="20"/>
      <c r="G540" s="236"/>
      <c r="H540" s="236"/>
      <c r="I540" s="215"/>
      <c r="J540" s="214"/>
      <c r="K540" s="192" t="e">
        <f t="shared" si="11"/>
        <v>#DIV/0!</v>
      </c>
    </row>
    <row r="541" spans="1:11" s="45" customFormat="1" ht="12.75" hidden="1">
      <c r="A541" s="43" t="s">
        <v>49</v>
      </c>
      <c r="B541" s="44" t="s">
        <v>158</v>
      </c>
      <c r="C541" s="44" t="s">
        <v>140</v>
      </c>
      <c r="D541" s="44" t="s">
        <v>69</v>
      </c>
      <c r="E541" s="44" t="s">
        <v>50</v>
      </c>
      <c r="F541" s="44"/>
      <c r="G541" s="239"/>
      <c r="H541" s="239"/>
      <c r="I541" s="198"/>
      <c r="J541" s="197"/>
      <c r="K541" s="192" t="e">
        <f t="shared" si="11"/>
        <v>#DIV/0!</v>
      </c>
    </row>
    <row r="542" spans="1:11" s="21" customFormat="1" ht="12.75" hidden="1">
      <c r="A542" s="16" t="s">
        <v>51</v>
      </c>
      <c r="B542" s="17" t="s">
        <v>158</v>
      </c>
      <c r="C542" s="17" t="s">
        <v>140</v>
      </c>
      <c r="D542" s="17" t="s">
        <v>69</v>
      </c>
      <c r="E542" s="17" t="s">
        <v>52</v>
      </c>
      <c r="F542" s="17"/>
      <c r="G542" s="236"/>
      <c r="H542" s="236"/>
      <c r="I542" s="215"/>
      <c r="J542" s="214"/>
      <c r="K542" s="192" t="e">
        <f t="shared" si="11"/>
        <v>#DIV/0!</v>
      </c>
    </row>
    <row r="543" spans="1:11" s="21" customFormat="1" ht="12.75" hidden="1">
      <c r="A543" s="7" t="s">
        <v>53</v>
      </c>
      <c r="B543" s="20"/>
      <c r="C543" s="20"/>
      <c r="D543" s="20"/>
      <c r="E543" s="20"/>
      <c r="F543" s="20" t="s">
        <v>223</v>
      </c>
      <c r="G543" s="236"/>
      <c r="H543" s="236"/>
      <c r="I543" s="215"/>
      <c r="J543" s="214"/>
      <c r="K543" s="192" t="e">
        <f t="shared" si="11"/>
        <v>#DIV/0!</v>
      </c>
    </row>
    <row r="544" spans="1:11" s="21" customFormat="1" ht="51" hidden="1">
      <c r="A544" s="7" t="s">
        <v>54</v>
      </c>
      <c r="B544" s="20"/>
      <c r="C544" s="20"/>
      <c r="D544" s="20"/>
      <c r="E544" s="20"/>
      <c r="F544" s="20" t="s">
        <v>194</v>
      </c>
      <c r="G544" s="236"/>
      <c r="H544" s="236"/>
      <c r="I544" s="215"/>
      <c r="J544" s="214"/>
      <c r="K544" s="192" t="e">
        <f t="shared" si="11"/>
        <v>#DIV/0!</v>
      </c>
    </row>
    <row r="545" spans="1:11" s="21" customFormat="1" ht="48" customHeight="1" hidden="1">
      <c r="A545" s="7" t="s">
        <v>55</v>
      </c>
      <c r="B545" s="20"/>
      <c r="C545" s="20"/>
      <c r="D545" s="20"/>
      <c r="E545" s="20"/>
      <c r="F545" s="20" t="s">
        <v>193</v>
      </c>
      <c r="G545" s="236"/>
      <c r="H545" s="236"/>
      <c r="I545" s="215"/>
      <c r="J545" s="214"/>
      <c r="K545" s="192" t="e">
        <f t="shared" si="11"/>
        <v>#DIV/0!</v>
      </c>
    </row>
    <row r="546" spans="1:11" s="21" customFormat="1" ht="15" customHeight="1" hidden="1">
      <c r="A546" s="16" t="s">
        <v>56</v>
      </c>
      <c r="B546" s="17" t="s">
        <v>158</v>
      </c>
      <c r="C546" s="17" t="s">
        <v>140</v>
      </c>
      <c r="D546" s="17" t="s">
        <v>69</v>
      </c>
      <c r="E546" s="17" t="s">
        <v>57</v>
      </c>
      <c r="F546" s="17"/>
      <c r="G546" s="236"/>
      <c r="H546" s="236"/>
      <c r="I546" s="215"/>
      <c r="J546" s="214"/>
      <c r="K546" s="192" t="e">
        <f t="shared" si="11"/>
        <v>#DIV/0!</v>
      </c>
    </row>
    <row r="547" spans="1:11" s="21" customFormat="1" ht="25.5" hidden="1">
      <c r="A547" s="7" t="s">
        <v>58</v>
      </c>
      <c r="B547" s="20"/>
      <c r="C547" s="20"/>
      <c r="D547" s="20"/>
      <c r="E547" s="20"/>
      <c r="F547" s="20" t="s">
        <v>195</v>
      </c>
      <c r="G547" s="236"/>
      <c r="H547" s="236"/>
      <c r="I547" s="215"/>
      <c r="J547" s="214"/>
      <c r="K547" s="192" t="e">
        <f t="shared" si="11"/>
        <v>#DIV/0!</v>
      </c>
    </row>
    <row r="548" spans="1:11" s="21" customFormat="1" ht="12.75" hidden="1">
      <c r="A548" s="7" t="s">
        <v>59</v>
      </c>
      <c r="B548" s="20"/>
      <c r="C548" s="20"/>
      <c r="D548" s="20"/>
      <c r="E548" s="20"/>
      <c r="F548" s="20" t="s">
        <v>196</v>
      </c>
      <c r="G548" s="236"/>
      <c r="H548" s="236"/>
      <c r="I548" s="215"/>
      <c r="J548" s="214"/>
      <c r="K548" s="192" t="e">
        <f t="shared" si="11"/>
        <v>#DIV/0!</v>
      </c>
    </row>
    <row r="549" spans="1:11" s="21" customFormat="1" ht="12.75" hidden="1">
      <c r="A549" s="7" t="s">
        <v>60</v>
      </c>
      <c r="B549" s="20"/>
      <c r="C549" s="20"/>
      <c r="D549" s="20"/>
      <c r="E549" s="20"/>
      <c r="F549" s="20" t="s">
        <v>197</v>
      </c>
      <c r="G549" s="236"/>
      <c r="H549" s="236"/>
      <c r="I549" s="215"/>
      <c r="J549" s="214"/>
      <c r="K549" s="192" t="e">
        <f t="shared" si="11"/>
        <v>#DIV/0!</v>
      </c>
    </row>
    <row r="550" spans="1:11" s="21" customFormat="1" ht="38.25" hidden="1">
      <c r="A550" s="7" t="s">
        <v>61</v>
      </c>
      <c r="B550" s="20"/>
      <c r="C550" s="20"/>
      <c r="D550" s="20"/>
      <c r="E550" s="20"/>
      <c r="F550" s="20" t="s">
        <v>198</v>
      </c>
      <c r="G550" s="236"/>
      <c r="H550" s="236"/>
      <c r="I550" s="215"/>
      <c r="J550" s="214"/>
      <c r="K550" s="192" t="e">
        <f t="shared" si="11"/>
        <v>#DIV/0!</v>
      </c>
    </row>
    <row r="551" spans="1:14" s="21" customFormat="1" ht="12.75" hidden="1">
      <c r="A551" s="23" t="s">
        <v>73</v>
      </c>
      <c r="B551" s="24" t="s">
        <v>158</v>
      </c>
      <c r="C551" s="24" t="s">
        <v>140</v>
      </c>
      <c r="D551" s="24" t="s">
        <v>69</v>
      </c>
      <c r="E551" s="24"/>
      <c r="F551" s="24"/>
      <c r="G551" s="236"/>
      <c r="H551" s="236"/>
      <c r="I551" s="215"/>
      <c r="J551" s="218"/>
      <c r="K551" s="192" t="e">
        <f t="shared" si="11"/>
        <v>#DIV/0!</v>
      </c>
      <c r="L551" s="73"/>
      <c r="M551" s="73"/>
      <c r="N551" s="73"/>
    </row>
    <row r="552" spans="1:14" s="45" customFormat="1" ht="16.5" customHeight="1" hidden="1">
      <c r="A552" s="43" t="s">
        <v>4</v>
      </c>
      <c r="B552" s="44" t="s">
        <v>158</v>
      </c>
      <c r="C552" s="44" t="s">
        <v>140</v>
      </c>
      <c r="D552" s="44" t="s">
        <v>69</v>
      </c>
      <c r="E552" s="44" t="s">
        <v>5</v>
      </c>
      <c r="F552" s="44"/>
      <c r="G552" s="239"/>
      <c r="H552" s="239"/>
      <c r="I552" s="198"/>
      <c r="J552" s="197"/>
      <c r="K552" s="192" t="e">
        <f t="shared" si="11"/>
        <v>#DIV/0!</v>
      </c>
      <c r="L552" s="93"/>
      <c r="M552" s="93"/>
      <c r="N552" s="93"/>
    </row>
    <row r="553" spans="1:14" s="21" customFormat="1" ht="12.75" hidden="1">
      <c r="A553" s="16" t="s">
        <v>6</v>
      </c>
      <c r="B553" s="17" t="s">
        <v>207</v>
      </c>
      <c r="C553" s="17" t="s">
        <v>140</v>
      </c>
      <c r="D553" s="17" t="s">
        <v>69</v>
      </c>
      <c r="E553" s="17" t="s">
        <v>7</v>
      </c>
      <c r="F553" s="17"/>
      <c r="G553" s="236"/>
      <c r="H553" s="236"/>
      <c r="I553" s="215"/>
      <c r="J553" s="186"/>
      <c r="K553" s="192" t="e">
        <f t="shared" si="11"/>
        <v>#DIV/0!</v>
      </c>
      <c r="L553" s="74"/>
      <c r="M553" s="74"/>
      <c r="N553" s="74"/>
    </row>
    <row r="554" spans="1:14" s="21" customFormat="1" ht="12.75" hidden="1">
      <c r="A554" s="16" t="s">
        <v>8</v>
      </c>
      <c r="B554" s="17" t="s">
        <v>207</v>
      </c>
      <c r="C554" s="17" t="s">
        <v>140</v>
      </c>
      <c r="D554" s="17" t="s">
        <v>69</v>
      </c>
      <c r="E554" s="17" t="s">
        <v>9</v>
      </c>
      <c r="F554" s="17"/>
      <c r="G554" s="236"/>
      <c r="H554" s="236"/>
      <c r="I554" s="215"/>
      <c r="J554" s="186"/>
      <c r="K554" s="192" t="e">
        <f t="shared" si="11"/>
        <v>#DIV/0!</v>
      </c>
      <c r="L554" s="74"/>
      <c r="M554" s="74"/>
      <c r="N554" s="74"/>
    </row>
    <row r="555" spans="1:14" s="21" customFormat="1" ht="25.5" hidden="1">
      <c r="A555" s="11" t="s">
        <v>10</v>
      </c>
      <c r="B555" s="4"/>
      <c r="C555" s="4"/>
      <c r="D555" s="4"/>
      <c r="E555" s="4"/>
      <c r="F555" s="4" t="s">
        <v>183</v>
      </c>
      <c r="G555" s="236"/>
      <c r="H555" s="236"/>
      <c r="I555" s="215"/>
      <c r="J555" s="200"/>
      <c r="K555" s="192" t="e">
        <f t="shared" si="11"/>
        <v>#DIV/0!</v>
      </c>
      <c r="L555" s="75"/>
      <c r="M555" s="75"/>
      <c r="N555" s="75"/>
    </row>
    <row r="556" spans="1:14" s="21" customFormat="1" ht="14.25" customHeight="1" hidden="1">
      <c r="A556" s="12" t="s">
        <v>11</v>
      </c>
      <c r="B556" s="4"/>
      <c r="C556" s="4"/>
      <c r="D556" s="4"/>
      <c r="E556" s="4"/>
      <c r="F556" s="4" t="s">
        <v>200</v>
      </c>
      <c r="G556" s="236"/>
      <c r="H556" s="236"/>
      <c r="I556" s="215"/>
      <c r="J556" s="200"/>
      <c r="K556" s="192" t="e">
        <f t="shared" si="11"/>
        <v>#DIV/0!</v>
      </c>
      <c r="L556" s="75"/>
      <c r="M556" s="75"/>
      <c r="N556" s="75"/>
    </row>
    <row r="557" spans="1:14" s="30" customFormat="1" ht="12.75" hidden="1">
      <c r="A557" s="65" t="s">
        <v>130</v>
      </c>
      <c r="B557" s="29"/>
      <c r="C557" s="29"/>
      <c r="D557" s="29"/>
      <c r="E557" s="29"/>
      <c r="F557" s="29" t="s">
        <v>199</v>
      </c>
      <c r="G557" s="254"/>
      <c r="H557" s="254"/>
      <c r="I557" s="205"/>
      <c r="J557" s="212"/>
      <c r="K557" s="192" t="e">
        <f t="shared" si="11"/>
        <v>#DIV/0!</v>
      </c>
      <c r="L557" s="76"/>
      <c r="M557" s="76"/>
      <c r="N557" s="76"/>
    </row>
    <row r="558" spans="1:14" s="21" customFormat="1" ht="25.5" hidden="1">
      <c r="A558" s="6" t="s">
        <v>12</v>
      </c>
      <c r="B558" s="4"/>
      <c r="C558" s="4"/>
      <c r="D558" s="4"/>
      <c r="E558" s="4"/>
      <c r="F558" s="4" t="s">
        <v>184</v>
      </c>
      <c r="G558" s="236"/>
      <c r="H558" s="236"/>
      <c r="I558" s="215"/>
      <c r="J558" s="200"/>
      <c r="K558" s="192" t="e">
        <f t="shared" si="11"/>
        <v>#DIV/0!</v>
      </c>
      <c r="L558" s="74"/>
      <c r="M558" s="74"/>
      <c r="N558" s="75"/>
    </row>
    <row r="559" spans="1:14" s="21" customFormat="1" ht="12.75" hidden="1">
      <c r="A559" s="16" t="s">
        <v>13</v>
      </c>
      <c r="B559" s="17" t="s">
        <v>207</v>
      </c>
      <c r="C559" s="17" t="s">
        <v>140</v>
      </c>
      <c r="D559" s="17" t="s">
        <v>69</v>
      </c>
      <c r="E559" s="17" t="s">
        <v>14</v>
      </c>
      <c r="F559" s="17"/>
      <c r="G559" s="236"/>
      <c r="H559" s="236"/>
      <c r="I559" s="215"/>
      <c r="J559" s="201"/>
      <c r="K559" s="192" t="e">
        <f t="shared" si="11"/>
        <v>#DIV/0!</v>
      </c>
      <c r="L559" s="74"/>
      <c r="M559" s="74"/>
      <c r="N559" s="74"/>
    </row>
    <row r="560" spans="1:14" s="45" customFormat="1" ht="12.75" hidden="1">
      <c r="A560" s="43" t="s">
        <v>15</v>
      </c>
      <c r="B560" s="44" t="s">
        <v>207</v>
      </c>
      <c r="C560" s="44" t="s">
        <v>140</v>
      </c>
      <c r="D560" s="44" t="s">
        <v>69</v>
      </c>
      <c r="E560" s="44" t="s">
        <v>16</v>
      </c>
      <c r="F560" s="44"/>
      <c r="G560" s="239"/>
      <c r="H560" s="239"/>
      <c r="I560" s="198"/>
      <c r="J560" s="197"/>
      <c r="K560" s="192" t="e">
        <f t="shared" si="11"/>
        <v>#DIV/0!</v>
      </c>
      <c r="L560" s="93"/>
      <c r="M560" s="93"/>
      <c r="N560" s="93"/>
    </row>
    <row r="561" spans="1:14" s="21" customFormat="1" ht="12.75" hidden="1">
      <c r="A561" s="16" t="s">
        <v>17</v>
      </c>
      <c r="B561" s="17" t="s">
        <v>207</v>
      </c>
      <c r="C561" s="17" t="s">
        <v>140</v>
      </c>
      <c r="D561" s="17" t="s">
        <v>69</v>
      </c>
      <c r="E561" s="17" t="s">
        <v>18</v>
      </c>
      <c r="F561" s="17"/>
      <c r="G561" s="236"/>
      <c r="H561" s="236"/>
      <c r="I561" s="215"/>
      <c r="J561" s="186"/>
      <c r="K561" s="192" t="e">
        <f t="shared" si="11"/>
        <v>#DIV/0!</v>
      </c>
      <c r="L561" s="74"/>
      <c r="M561" s="74"/>
      <c r="N561" s="74"/>
    </row>
    <row r="562" spans="1:14" s="21" customFormat="1" ht="12.75" hidden="1">
      <c r="A562" s="16" t="s">
        <v>21</v>
      </c>
      <c r="B562" s="17" t="s">
        <v>207</v>
      </c>
      <c r="C562" s="17" t="s">
        <v>140</v>
      </c>
      <c r="D562" s="17" t="s">
        <v>69</v>
      </c>
      <c r="E562" s="17" t="s">
        <v>19</v>
      </c>
      <c r="F562" s="17"/>
      <c r="G562" s="236"/>
      <c r="H562" s="236"/>
      <c r="I562" s="215"/>
      <c r="J562" s="186"/>
      <c r="K562" s="192" t="e">
        <f t="shared" si="11"/>
        <v>#DIV/0!</v>
      </c>
      <c r="L562" s="74"/>
      <c r="M562" s="74"/>
      <c r="N562" s="74"/>
    </row>
    <row r="563" spans="1:14" s="21" customFormat="1" ht="25.5" hidden="1">
      <c r="A563" s="11" t="s">
        <v>20</v>
      </c>
      <c r="B563" s="4"/>
      <c r="C563" s="4"/>
      <c r="D563" s="4"/>
      <c r="E563" s="4"/>
      <c r="F563" s="4" t="s">
        <v>183</v>
      </c>
      <c r="G563" s="236"/>
      <c r="H563" s="236"/>
      <c r="I563" s="215"/>
      <c r="J563" s="200"/>
      <c r="K563" s="192" t="e">
        <f t="shared" si="11"/>
        <v>#DIV/0!</v>
      </c>
      <c r="L563" s="75"/>
      <c r="M563" s="75"/>
      <c r="N563" s="75"/>
    </row>
    <row r="564" spans="1:14" s="21" customFormat="1" ht="38.25" hidden="1">
      <c r="A564" s="8" t="s">
        <v>22</v>
      </c>
      <c r="B564" s="4"/>
      <c r="C564" s="4"/>
      <c r="D564" s="4"/>
      <c r="E564" s="4"/>
      <c r="F564" s="4" t="s">
        <v>185</v>
      </c>
      <c r="G564" s="236"/>
      <c r="H564" s="236"/>
      <c r="I564" s="215"/>
      <c r="J564" s="200"/>
      <c r="K564" s="192" t="e">
        <f t="shared" si="11"/>
        <v>#DIV/0!</v>
      </c>
      <c r="L564" s="75"/>
      <c r="M564" s="75"/>
      <c r="N564" s="75"/>
    </row>
    <row r="565" spans="1:14" s="21" customFormat="1" ht="12.75" hidden="1">
      <c r="A565" s="16" t="s">
        <v>23</v>
      </c>
      <c r="B565" s="17" t="s">
        <v>207</v>
      </c>
      <c r="C565" s="17" t="s">
        <v>140</v>
      </c>
      <c r="D565" s="17" t="s">
        <v>69</v>
      </c>
      <c r="E565" s="17" t="s">
        <v>24</v>
      </c>
      <c r="F565" s="17"/>
      <c r="G565" s="236"/>
      <c r="H565" s="236"/>
      <c r="I565" s="215"/>
      <c r="J565" s="186"/>
      <c r="K565" s="192" t="e">
        <f t="shared" si="11"/>
        <v>#DIV/0!</v>
      </c>
      <c r="L565" s="74"/>
      <c r="M565" s="74"/>
      <c r="N565" s="74"/>
    </row>
    <row r="566" spans="1:14" s="21" customFormat="1" ht="25.5" hidden="1">
      <c r="A566" s="7" t="s">
        <v>25</v>
      </c>
      <c r="B566" s="4"/>
      <c r="C566" s="4"/>
      <c r="D566" s="4"/>
      <c r="E566" s="4"/>
      <c r="F566" s="4" t="s">
        <v>186</v>
      </c>
      <c r="G566" s="236"/>
      <c r="H566" s="236"/>
      <c r="I566" s="215"/>
      <c r="J566" s="200"/>
      <c r="K566" s="192" t="e">
        <f t="shared" si="11"/>
        <v>#DIV/0!</v>
      </c>
      <c r="L566" s="75"/>
      <c r="M566" s="75"/>
      <c r="N566" s="75"/>
    </row>
    <row r="567" spans="1:14" s="21" customFormat="1" ht="25.5" customHeight="1" hidden="1">
      <c r="A567" s="7" t="s">
        <v>26</v>
      </c>
      <c r="B567" s="4"/>
      <c r="C567" s="4"/>
      <c r="D567" s="4"/>
      <c r="E567" s="4"/>
      <c r="F567" s="4" t="s">
        <v>187</v>
      </c>
      <c r="G567" s="236"/>
      <c r="H567" s="236"/>
      <c r="I567" s="215"/>
      <c r="J567" s="200"/>
      <c r="K567" s="192" t="e">
        <f t="shared" si="11"/>
        <v>#DIV/0!</v>
      </c>
      <c r="L567" s="75"/>
      <c r="M567" s="75"/>
      <c r="N567" s="75"/>
    </row>
    <row r="568" spans="1:14" s="21" customFormat="1" ht="12.75" hidden="1">
      <c r="A568" s="7" t="s">
        <v>27</v>
      </c>
      <c r="B568" s="4"/>
      <c r="C568" s="4"/>
      <c r="D568" s="4"/>
      <c r="E568" s="4"/>
      <c r="F568" s="4" t="s">
        <v>188</v>
      </c>
      <c r="G568" s="236"/>
      <c r="H568" s="236"/>
      <c r="I568" s="215"/>
      <c r="J568" s="200"/>
      <c r="K568" s="192" t="e">
        <f t="shared" si="11"/>
        <v>#DIV/0!</v>
      </c>
      <c r="L568" s="75"/>
      <c r="M568" s="75"/>
      <c r="N568" s="75"/>
    </row>
    <row r="569" spans="1:14" s="21" customFormat="1" ht="15.75" customHeight="1" hidden="1">
      <c r="A569" s="16" t="s">
        <v>28</v>
      </c>
      <c r="B569" s="17" t="s">
        <v>207</v>
      </c>
      <c r="C569" s="17" t="s">
        <v>140</v>
      </c>
      <c r="D569" s="17" t="s">
        <v>69</v>
      </c>
      <c r="E569" s="17" t="s">
        <v>29</v>
      </c>
      <c r="F569" s="17"/>
      <c r="G569" s="236"/>
      <c r="H569" s="236"/>
      <c r="I569" s="215"/>
      <c r="J569" s="200"/>
      <c r="K569" s="192" t="e">
        <f t="shared" si="11"/>
        <v>#DIV/0!</v>
      </c>
      <c r="L569" s="74"/>
      <c r="M569" s="74"/>
      <c r="N569" s="74"/>
    </row>
    <row r="570" spans="1:14" s="21" customFormat="1" ht="12.75" hidden="1">
      <c r="A570" s="16" t="s">
        <v>30</v>
      </c>
      <c r="B570" s="17" t="s">
        <v>207</v>
      </c>
      <c r="C570" s="17" t="s">
        <v>140</v>
      </c>
      <c r="D570" s="17" t="s">
        <v>69</v>
      </c>
      <c r="E570" s="17" t="s">
        <v>31</v>
      </c>
      <c r="F570" s="17"/>
      <c r="G570" s="236"/>
      <c r="H570" s="236"/>
      <c r="I570" s="215"/>
      <c r="J570" s="186"/>
      <c r="K570" s="192" t="e">
        <f t="shared" si="11"/>
        <v>#DIV/0!</v>
      </c>
      <c r="L570" s="74"/>
      <c r="M570" s="74"/>
      <c r="N570" s="74"/>
    </row>
    <row r="571" spans="1:14" s="21" customFormat="1" ht="12.75" hidden="1">
      <c r="A571" s="7" t="s">
        <v>32</v>
      </c>
      <c r="B571" s="17"/>
      <c r="C571" s="17"/>
      <c r="D571" s="17"/>
      <c r="E571" s="17"/>
      <c r="F571" s="17" t="s">
        <v>189</v>
      </c>
      <c r="G571" s="236"/>
      <c r="H571" s="236"/>
      <c r="I571" s="215"/>
      <c r="J571" s="186"/>
      <c r="K571" s="192" t="e">
        <f t="shared" si="11"/>
        <v>#DIV/0!</v>
      </c>
      <c r="L571" s="74"/>
      <c r="M571" s="74"/>
      <c r="N571" s="74"/>
    </row>
    <row r="572" spans="1:14" s="21" customFormat="1" ht="12.75" hidden="1">
      <c r="A572" s="7" t="s">
        <v>33</v>
      </c>
      <c r="B572" s="17"/>
      <c r="C572" s="17"/>
      <c r="D572" s="17"/>
      <c r="E572" s="17"/>
      <c r="F572" s="17" t="s">
        <v>191</v>
      </c>
      <c r="G572" s="236"/>
      <c r="H572" s="236"/>
      <c r="I572" s="215"/>
      <c r="J572" s="186"/>
      <c r="K572" s="192" t="e">
        <f t="shared" si="11"/>
        <v>#DIV/0!</v>
      </c>
      <c r="L572" s="74"/>
      <c r="M572" s="74"/>
      <c r="N572" s="74"/>
    </row>
    <row r="573" spans="1:14" s="21" customFormat="1" ht="25.5" hidden="1">
      <c r="A573" s="7" t="s">
        <v>34</v>
      </c>
      <c r="B573" s="17"/>
      <c r="C573" s="17"/>
      <c r="D573" s="17"/>
      <c r="E573" s="17"/>
      <c r="F573" s="17" t="s">
        <v>221</v>
      </c>
      <c r="G573" s="236"/>
      <c r="H573" s="236"/>
      <c r="I573" s="215"/>
      <c r="J573" s="186"/>
      <c r="K573" s="192" t="e">
        <f t="shared" si="11"/>
        <v>#DIV/0!</v>
      </c>
      <c r="L573" s="74"/>
      <c r="M573" s="74"/>
      <c r="N573" s="74"/>
    </row>
    <row r="574" spans="1:14" s="21" customFormat="1" ht="25.5" hidden="1">
      <c r="A574" s="7" t="s">
        <v>35</v>
      </c>
      <c r="B574" s="17"/>
      <c r="C574" s="17"/>
      <c r="D574" s="17"/>
      <c r="E574" s="17"/>
      <c r="F574" s="17" t="s">
        <v>190</v>
      </c>
      <c r="G574" s="236"/>
      <c r="H574" s="236"/>
      <c r="I574" s="215"/>
      <c r="J574" s="186"/>
      <c r="K574" s="192" t="e">
        <f t="shared" si="11"/>
        <v>#DIV/0!</v>
      </c>
      <c r="L574" s="74"/>
      <c r="M574" s="74"/>
      <c r="N574" s="74"/>
    </row>
    <row r="575" spans="1:14" s="21" customFormat="1" ht="51" hidden="1">
      <c r="A575" s="7" t="s">
        <v>36</v>
      </c>
      <c r="B575" s="17"/>
      <c r="C575" s="17"/>
      <c r="D575" s="17"/>
      <c r="E575" s="17"/>
      <c r="F575" s="17" t="s">
        <v>190</v>
      </c>
      <c r="G575" s="236"/>
      <c r="H575" s="236"/>
      <c r="I575" s="215"/>
      <c r="J575" s="186"/>
      <c r="K575" s="192" t="e">
        <f t="shared" si="11"/>
        <v>#DIV/0!</v>
      </c>
      <c r="L575" s="74"/>
      <c r="M575" s="74"/>
      <c r="N575" s="74"/>
    </row>
    <row r="576" spans="1:14" s="21" customFormat="1" ht="12.75" hidden="1">
      <c r="A576" s="16" t="s">
        <v>37</v>
      </c>
      <c r="B576" s="17" t="s">
        <v>207</v>
      </c>
      <c r="C576" s="17" t="s">
        <v>140</v>
      </c>
      <c r="D576" s="17" t="s">
        <v>69</v>
      </c>
      <c r="E576" s="17" t="s">
        <v>38</v>
      </c>
      <c r="F576" s="17"/>
      <c r="G576" s="236"/>
      <c r="H576" s="236"/>
      <c r="I576" s="215"/>
      <c r="J576" s="186"/>
      <c r="K576" s="192" t="e">
        <f t="shared" si="11"/>
        <v>#DIV/0!</v>
      </c>
      <c r="L576" s="74"/>
      <c r="M576" s="74"/>
      <c r="N576" s="74"/>
    </row>
    <row r="577" spans="1:14" s="21" customFormat="1" ht="38.25" hidden="1">
      <c r="A577" s="11" t="s">
        <v>39</v>
      </c>
      <c r="B577" s="20"/>
      <c r="C577" s="20"/>
      <c r="D577" s="20"/>
      <c r="E577" s="20"/>
      <c r="F577" s="20" t="s">
        <v>183</v>
      </c>
      <c r="G577" s="236"/>
      <c r="H577" s="236"/>
      <c r="I577" s="215"/>
      <c r="J577" s="214"/>
      <c r="K577" s="192" t="e">
        <f t="shared" si="11"/>
        <v>#DIV/0!</v>
      </c>
      <c r="L577" s="77"/>
      <c r="M577" s="77"/>
      <c r="N577" s="77"/>
    </row>
    <row r="578" spans="1:14" s="21" customFormat="1" ht="38.25" hidden="1">
      <c r="A578" s="19" t="s">
        <v>40</v>
      </c>
      <c r="B578" s="20"/>
      <c r="C578" s="20"/>
      <c r="D578" s="20"/>
      <c r="E578" s="20"/>
      <c r="F578" s="20" t="s">
        <v>222</v>
      </c>
      <c r="G578" s="236"/>
      <c r="H578" s="236"/>
      <c r="I578" s="215"/>
      <c r="J578" s="214"/>
      <c r="K578" s="192" t="e">
        <f t="shared" si="11"/>
        <v>#DIV/0!</v>
      </c>
      <c r="L578" s="77"/>
      <c r="M578" s="77"/>
      <c r="N578" s="77"/>
    </row>
    <row r="579" spans="1:14" s="21" customFormat="1" ht="25.5" hidden="1">
      <c r="A579" s="12" t="s">
        <v>41</v>
      </c>
      <c r="B579" s="20"/>
      <c r="C579" s="20"/>
      <c r="D579" s="20"/>
      <c r="E579" s="20"/>
      <c r="F579" s="20" t="s">
        <v>192</v>
      </c>
      <c r="G579" s="236"/>
      <c r="H579" s="236"/>
      <c r="I579" s="215"/>
      <c r="J579" s="214"/>
      <c r="K579" s="192" t="e">
        <f t="shared" si="11"/>
        <v>#DIV/0!</v>
      </c>
      <c r="L579" s="77"/>
      <c r="M579" s="77"/>
      <c r="N579" s="77"/>
    </row>
    <row r="580" spans="1:14" s="45" customFormat="1" ht="12.75" hidden="1">
      <c r="A580" s="43" t="s">
        <v>42</v>
      </c>
      <c r="B580" s="44" t="s">
        <v>207</v>
      </c>
      <c r="C580" s="44" t="s">
        <v>140</v>
      </c>
      <c r="D580" s="44" t="s">
        <v>69</v>
      </c>
      <c r="E580" s="44" t="s">
        <v>43</v>
      </c>
      <c r="F580" s="44"/>
      <c r="G580" s="239"/>
      <c r="H580" s="239"/>
      <c r="I580" s="198"/>
      <c r="J580" s="197"/>
      <c r="K580" s="192" t="e">
        <f t="shared" si="11"/>
        <v>#DIV/0!</v>
      </c>
      <c r="L580" s="93"/>
      <c r="M580" s="93"/>
      <c r="N580" s="93"/>
    </row>
    <row r="581" spans="1:14" s="21" customFormat="1" ht="10.5" customHeight="1" hidden="1">
      <c r="A581" s="16" t="s">
        <v>44</v>
      </c>
      <c r="B581" s="17" t="s">
        <v>207</v>
      </c>
      <c r="C581" s="17" t="s">
        <v>140</v>
      </c>
      <c r="D581" s="17" t="s">
        <v>69</v>
      </c>
      <c r="E581" s="17" t="s">
        <v>45</v>
      </c>
      <c r="F581" s="17"/>
      <c r="G581" s="236"/>
      <c r="H581" s="236"/>
      <c r="I581" s="215"/>
      <c r="J581" s="186"/>
      <c r="K581" s="192" t="e">
        <f t="shared" si="11"/>
        <v>#DIV/0!</v>
      </c>
      <c r="L581" s="74"/>
      <c r="M581" s="74"/>
      <c r="N581" s="74"/>
    </row>
    <row r="582" spans="1:14" s="21" customFormat="1" ht="12.75" hidden="1">
      <c r="A582" s="6" t="s">
        <v>46</v>
      </c>
      <c r="B582" s="20"/>
      <c r="C582" s="20"/>
      <c r="D582" s="20"/>
      <c r="E582" s="20"/>
      <c r="F582" s="20"/>
      <c r="G582" s="236"/>
      <c r="H582" s="236"/>
      <c r="I582" s="215"/>
      <c r="J582" s="212"/>
      <c r="K582" s="192" t="e">
        <f t="shared" si="11"/>
        <v>#DIV/0!</v>
      </c>
      <c r="L582" s="77"/>
      <c r="M582" s="77"/>
      <c r="N582" s="77"/>
    </row>
    <row r="583" spans="1:14" s="45" customFormat="1" ht="12.75" hidden="1">
      <c r="A583" s="43" t="s">
        <v>47</v>
      </c>
      <c r="B583" s="44" t="s">
        <v>207</v>
      </c>
      <c r="C583" s="44" t="s">
        <v>140</v>
      </c>
      <c r="D583" s="44" t="s">
        <v>69</v>
      </c>
      <c r="E583" s="44" t="s">
        <v>48</v>
      </c>
      <c r="F583" s="44"/>
      <c r="G583" s="239"/>
      <c r="H583" s="239"/>
      <c r="I583" s="198"/>
      <c r="J583" s="197"/>
      <c r="K583" s="192" t="e">
        <f t="shared" si="11"/>
        <v>#DIV/0!</v>
      </c>
      <c r="L583" s="93"/>
      <c r="M583" s="93"/>
      <c r="N583" s="93"/>
    </row>
    <row r="584" spans="1:14" s="21" customFormat="1" ht="26.25" customHeight="1" hidden="1">
      <c r="A584" s="12" t="s">
        <v>41</v>
      </c>
      <c r="B584" s="20"/>
      <c r="C584" s="20"/>
      <c r="D584" s="20"/>
      <c r="E584" s="20"/>
      <c r="F584" s="20"/>
      <c r="G584" s="236"/>
      <c r="H584" s="236"/>
      <c r="I584" s="215"/>
      <c r="J584" s="214"/>
      <c r="K584" s="192" t="e">
        <f t="shared" si="11"/>
        <v>#DIV/0!</v>
      </c>
      <c r="L584" s="77"/>
      <c r="M584" s="77"/>
      <c r="N584" s="77"/>
    </row>
    <row r="585" spans="1:14" s="45" customFormat="1" ht="12.75" hidden="1">
      <c r="A585" s="43" t="s">
        <v>49</v>
      </c>
      <c r="B585" s="44" t="s">
        <v>207</v>
      </c>
      <c r="C585" s="44" t="s">
        <v>140</v>
      </c>
      <c r="D585" s="44" t="s">
        <v>69</v>
      </c>
      <c r="E585" s="44" t="s">
        <v>50</v>
      </c>
      <c r="F585" s="44"/>
      <c r="G585" s="239"/>
      <c r="H585" s="239"/>
      <c r="I585" s="198"/>
      <c r="J585" s="197"/>
      <c r="K585" s="192" t="e">
        <f t="shared" si="11"/>
        <v>#DIV/0!</v>
      </c>
      <c r="L585" s="93"/>
      <c r="M585" s="93"/>
      <c r="N585" s="93"/>
    </row>
    <row r="586" spans="1:14" s="21" customFormat="1" ht="12.75" hidden="1">
      <c r="A586" s="16" t="s">
        <v>51</v>
      </c>
      <c r="B586" s="17" t="s">
        <v>207</v>
      </c>
      <c r="C586" s="17" t="s">
        <v>140</v>
      </c>
      <c r="D586" s="17" t="s">
        <v>69</v>
      </c>
      <c r="E586" s="17" t="s">
        <v>52</v>
      </c>
      <c r="F586" s="17"/>
      <c r="G586" s="236"/>
      <c r="H586" s="236"/>
      <c r="I586" s="215"/>
      <c r="J586" s="186"/>
      <c r="K586" s="192" t="e">
        <f t="shared" si="11"/>
        <v>#DIV/0!</v>
      </c>
      <c r="L586" s="74"/>
      <c r="M586" s="74"/>
      <c r="N586" s="74"/>
    </row>
    <row r="587" spans="1:14" s="21" customFormat="1" ht="12.75" hidden="1">
      <c r="A587" s="7" t="s">
        <v>53</v>
      </c>
      <c r="B587" s="20"/>
      <c r="C587" s="20"/>
      <c r="D587" s="20"/>
      <c r="E587" s="20"/>
      <c r="F587" s="20" t="s">
        <v>223</v>
      </c>
      <c r="G587" s="236"/>
      <c r="H587" s="236"/>
      <c r="I587" s="215"/>
      <c r="J587" s="214"/>
      <c r="K587" s="192" t="e">
        <f aca="true" t="shared" si="12" ref="K587:K650">J587*100/I587</f>
        <v>#DIV/0!</v>
      </c>
      <c r="L587" s="77"/>
      <c r="M587" s="77"/>
      <c r="N587" s="77"/>
    </row>
    <row r="588" spans="1:14" s="21" customFormat="1" ht="51" hidden="1">
      <c r="A588" s="7" t="s">
        <v>54</v>
      </c>
      <c r="B588" s="20"/>
      <c r="C588" s="20"/>
      <c r="D588" s="20"/>
      <c r="E588" s="20"/>
      <c r="F588" s="20" t="s">
        <v>194</v>
      </c>
      <c r="G588" s="236"/>
      <c r="H588" s="236"/>
      <c r="I588" s="215"/>
      <c r="J588" s="214"/>
      <c r="K588" s="192" t="e">
        <f t="shared" si="12"/>
        <v>#DIV/0!</v>
      </c>
      <c r="L588" s="77"/>
      <c r="M588" s="77"/>
      <c r="N588" s="77"/>
    </row>
    <row r="589" spans="1:14" s="21" customFormat="1" ht="52.5" customHeight="1" hidden="1">
      <c r="A589" s="7" t="s">
        <v>55</v>
      </c>
      <c r="B589" s="20"/>
      <c r="C589" s="20"/>
      <c r="D589" s="20"/>
      <c r="E589" s="20"/>
      <c r="F589" s="20" t="s">
        <v>193</v>
      </c>
      <c r="G589" s="236"/>
      <c r="H589" s="236"/>
      <c r="I589" s="215"/>
      <c r="J589" s="214"/>
      <c r="K589" s="192" t="e">
        <f t="shared" si="12"/>
        <v>#DIV/0!</v>
      </c>
      <c r="L589" s="77"/>
      <c r="M589" s="77"/>
      <c r="N589" s="77"/>
    </row>
    <row r="590" spans="1:14" s="21" customFormat="1" ht="17.25" customHeight="1" hidden="1">
      <c r="A590" s="16" t="s">
        <v>56</v>
      </c>
      <c r="B590" s="17" t="s">
        <v>207</v>
      </c>
      <c r="C590" s="17" t="s">
        <v>140</v>
      </c>
      <c r="D590" s="17" t="s">
        <v>69</v>
      </c>
      <c r="E590" s="17" t="s">
        <v>57</v>
      </c>
      <c r="F590" s="17"/>
      <c r="G590" s="236"/>
      <c r="H590" s="236"/>
      <c r="I590" s="215"/>
      <c r="J590" s="186"/>
      <c r="K590" s="192" t="e">
        <f t="shared" si="12"/>
        <v>#DIV/0!</v>
      </c>
      <c r="L590" s="74"/>
      <c r="M590" s="74"/>
      <c r="N590" s="74"/>
    </row>
    <row r="591" spans="1:14" s="21" customFormat="1" ht="25.5" hidden="1">
      <c r="A591" s="7" t="s">
        <v>58</v>
      </c>
      <c r="B591" s="20"/>
      <c r="C591" s="20"/>
      <c r="D591" s="20"/>
      <c r="E591" s="20"/>
      <c r="F591" s="20" t="s">
        <v>195</v>
      </c>
      <c r="G591" s="236"/>
      <c r="H591" s="236"/>
      <c r="I591" s="215"/>
      <c r="J591" s="214"/>
      <c r="K591" s="192" t="e">
        <f t="shared" si="12"/>
        <v>#DIV/0!</v>
      </c>
      <c r="L591" s="77"/>
      <c r="M591" s="77"/>
      <c r="N591" s="77"/>
    </row>
    <row r="592" spans="1:14" s="21" customFormat="1" ht="12.75" hidden="1">
      <c r="A592" s="7" t="s">
        <v>59</v>
      </c>
      <c r="B592" s="20"/>
      <c r="C592" s="20"/>
      <c r="D592" s="20"/>
      <c r="E592" s="20"/>
      <c r="F592" s="20" t="s">
        <v>196</v>
      </c>
      <c r="G592" s="236"/>
      <c r="H592" s="236"/>
      <c r="I592" s="215"/>
      <c r="J592" s="214"/>
      <c r="K592" s="192" t="e">
        <f t="shared" si="12"/>
        <v>#DIV/0!</v>
      </c>
      <c r="L592" s="77"/>
      <c r="M592" s="77"/>
      <c r="N592" s="77"/>
    </row>
    <row r="593" spans="1:14" s="21" customFormat="1" ht="12.75" hidden="1">
      <c r="A593" s="7" t="s">
        <v>60</v>
      </c>
      <c r="B593" s="20"/>
      <c r="C593" s="20"/>
      <c r="D593" s="20"/>
      <c r="E593" s="20"/>
      <c r="F593" s="20" t="s">
        <v>197</v>
      </c>
      <c r="G593" s="236"/>
      <c r="H593" s="236"/>
      <c r="I593" s="215"/>
      <c r="J593" s="214"/>
      <c r="K593" s="192" t="e">
        <f t="shared" si="12"/>
        <v>#DIV/0!</v>
      </c>
      <c r="L593" s="77"/>
      <c r="M593" s="77"/>
      <c r="N593" s="77"/>
    </row>
    <row r="594" spans="1:14" s="21" customFormat="1" ht="26.25" customHeight="1" hidden="1">
      <c r="A594" s="7" t="s">
        <v>61</v>
      </c>
      <c r="B594" s="20"/>
      <c r="C594" s="20"/>
      <c r="D594" s="20"/>
      <c r="E594" s="20"/>
      <c r="F594" s="20" t="s">
        <v>198</v>
      </c>
      <c r="G594" s="236"/>
      <c r="H594" s="236"/>
      <c r="I594" s="215"/>
      <c r="J594" s="214"/>
      <c r="K594" s="192" t="e">
        <f t="shared" si="12"/>
        <v>#DIV/0!</v>
      </c>
      <c r="L594" s="77"/>
      <c r="M594" s="77"/>
      <c r="N594" s="77"/>
    </row>
    <row r="595" spans="1:11" s="21" customFormat="1" ht="12.75" hidden="1">
      <c r="A595" s="7"/>
      <c r="B595" s="20"/>
      <c r="C595" s="20"/>
      <c r="D595" s="20"/>
      <c r="E595" s="20"/>
      <c r="F595" s="20"/>
      <c r="G595" s="236"/>
      <c r="H595" s="236"/>
      <c r="I595" s="215"/>
      <c r="J595" s="214"/>
      <c r="K595" s="192" t="e">
        <f t="shared" si="12"/>
        <v>#DIV/0!</v>
      </c>
    </row>
    <row r="596" spans="1:11" s="21" customFormat="1" ht="12.75" hidden="1">
      <c r="A596" s="26" t="s">
        <v>74</v>
      </c>
      <c r="B596" s="24" t="s">
        <v>159</v>
      </c>
      <c r="C596" s="24" t="s">
        <v>88</v>
      </c>
      <c r="D596" s="24" t="s">
        <v>2</v>
      </c>
      <c r="E596" s="24"/>
      <c r="F596" s="24"/>
      <c r="G596" s="236"/>
      <c r="H596" s="236"/>
      <c r="I596" s="215"/>
      <c r="J596" s="214"/>
      <c r="K596" s="192" t="e">
        <f t="shared" si="12"/>
        <v>#DIV/0!</v>
      </c>
    </row>
    <row r="597" spans="1:11" s="46" customFormat="1" ht="46.5" customHeight="1" hidden="1">
      <c r="A597" s="26" t="s">
        <v>124</v>
      </c>
      <c r="B597" s="24" t="s">
        <v>159</v>
      </c>
      <c r="C597" s="24" t="s">
        <v>125</v>
      </c>
      <c r="D597" s="24" t="s">
        <v>69</v>
      </c>
      <c r="E597" s="24"/>
      <c r="F597" s="24"/>
      <c r="G597" s="242"/>
      <c r="H597" s="242"/>
      <c r="I597" s="215"/>
      <c r="J597" s="224"/>
      <c r="K597" s="192" t="e">
        <f t="shared" si="12"/>
        <v>#DIV/0!</v>
      </c>
    </row>
    <row r="598" spans="1:11" s="21" customFormat="1" ht="14.25" customHeight="1" hidden="1">
      <c r="A598" s="10" t="s">
        <v>4</v>
      </c>
      <c r="B598" s="14" t="s">
        <v>208</v>
      </c>
      <c r="C598" s="14" t="s">
        <v>125</v>
      </c>
      <c r="D598" s="14" t="s">
        <v>69</v>
      </c>
      <c r="E598" s="14" t="s">
        <v>5</v>
      </c>
      <c r="F598" s="14"/>
      <c r="G598" s="236"/>
      <c r="H598" s="236"/>
      <c r="I598" s="215"/>
      <c r="J598" s="214"/>
      <c r="K598" s="192" t="e">
        <f t="shared" si="12"/>
        <v>#DIV/0!</v>
      </c>
    </row>
    <row r="599" spans="1:11" s="21" customFormat="1" ht="12.75" hidden="1">
      <c r="A599" s="16" t="s">
        <v>6</v>
      </c>
      <c r="B599" s="17" t="s">
        <v>159</v>
      </c>
      <c r="C599" s="17" t="s">
        <v>125</v>
      </c>
      <c r="D599" s="17" t="s">
        <v>69</v>
      </c>
      <c r="E599" s="17" t="s">
        <v>7</v>
      </c>
      <c r="F599" s="17"/>
      <c r="G599" s="236"/>
      <c r="H599" s="236"/>
      <c r="I599" s="215"/>
      <c r="J599" s="214"/>
      <c r="K599" s="192" t="e">
        <f t="shared" si="12"/>
        <v>#DIV/0!</v>
      </c>
    </row>
    <row r="600" spans="1:11" s="21" customFormat="1" ht="12.75" hidden="1">
      <c r="A600" s="16" t="s">
        <v>8</v>
      </c>
      <c r="B600" s="17" t="s">
        <v>159</v>
      </c>
      <c r="C600" s="17" t="s">
        <v>125</v>
      </c>
      <c r="D600" s="17" t="s">
        <v>69</v>
      </c>
      <c r="E600" s="17" t="s">
        <v>9</v>
      </c>
      <c r="F600" s="17"/>
      <c r="G600" s="236"/>
      <c r="H600" s="236"/>
      <c r="I600" s="215"/>
      <c r="J600" s="214"/>
      <c r="K600" s="192" t="e">
        <f t="shared" si="12"/>
        <v>#DIV/0!</v>
      </c>
    </row>
    <row r="601" spans="1:11" s="21" customFormat="1" ht="25.5" hidden="1">
      <c r="A601" s="11" t="s">
        <v>10</v>
      </c>
      <c r="B601" s="4"/>
      <c r="C601" s="4"/>
      <c r="D601" s="4"/>
      <c r="E601" s="4"/>
      <c r="F601" s="4" t="s">
        <v>183</v>
      </c>
      <c r="G601" s="236"/>
      <c r="H601" s="236"/>
      <c r="I601" s="215"/>
      <c r="J601" s="214"/>
      <c r="K601" s="192" t="e">
        <f t="shared" si="12"/>
        <v>#DIV/0!</v>
      </c>
    </row>
    <row r="602" spans="1:11" s="21" customFormat="1" ht="15" customHeight="1" hidden="1">
      <c r="A602" s="12" t="s">
        <v>11</v>
      </c>
      <c r="B602" s="4"/>
      <c r="C602" s="4"/>
      <c r="D602" s="4"/>
      <c r="E602" s="4"/>
      <c r="F602" s="4" t="s">
        <v>200</v>
      </c>
      <c r="G602" s="236"/>
      <c r="H602" s="236"/>
      <c r="I602" s="215"/>
      <c r="J602" s="214"/>
      <c r="K602" s="192" t="e">
        <f t="shared" si="12"/>
        <v>#DIV/0!</v>
      </c>
    </row>
    <row r="603" spans="1:11" s="30" customFormat="1" ht="12.75" hidden="1">
      <c r="A603" s="65" t="s">
        <v>130</v>
      </c>
      <c r="B603" s="29"/>
      <c r="C603" s="29"/>
      <c r="D603" s="29"/>
      <c r="E603" s="29"/>
      <c r="F603" s="29" t="s">
        <v>199</v>
      </c>
      <c r="G603" s="254"/>
      <c r="H603" s="254"/>
      <c r="I603" s="205"/>
      <c r="J603" s="212"/>
      <c r="K603" s="192" t="e">
        <f t="shared" si="12"/>
        <v>#DIV/0!</v>
      </c>
    </row>
    <row r="604" spans="1:11" s="21" customFormat="1" ht="25.5" hidden="1">
      <c r="A604" s="6" t="s">
        <v>12</v>
      </c>
      <c r="B604" s="4"/>
      <c r="C604" s="4"/>
      <c r="D604" s="4"/>
      <c r="E604" s="4"/>
      <c r="F604" s="4" t="s">
        <v>184</v>
      </c>
      <c r="G604" s="236"/>
      <c r="H604" s="236"/>
      <c r="I604" s="215"/>
      <c r="J604" s="214"/>
      <c r="K604" s="192" t="e">
        <f t="shared" si="12"/>
        <v>#DIV/0!</v>
      </c>
    </row>
    <row r="605" spans="1:11" s="21" customFormat="1" ht="12.75" hidden="1">
      <c r="A605" s="16" t="s">
        <v>13</v>
      </c>
      <c r="B605" s="17" t="s">
        <v>159</v>
      </c>
      <c r="C605" s="17" t="s">
        <v>125</v>
      </c>
      <c r="D605" s="17" t="s">
        <v>69</v>
      </c>
      <c r="E605" s="17" t="s">
        <v>14</v>
      </c>
      <c r="F605" s="17"/>
      <c r="G605" s="236"/>
      <c r="H605" s="236"/>
      <c r="I605" s="215"/>
      <c r="J605" s="214"/>
      <c r="K605" s="192" t="e">
        <f t="shared" si="12"/>
        <v>#DIV/0!</v>
      </c>
    </row>
    <row r="606" spans="1:11" s="45" customFormat="1" ht="12.75" hidden="1">
      <c r="A606" s="43" t="s">
        <v>15</v>
      </c>
      <c r="B606" s="44" t="s">
        <v>159</v>
      </c>
      <c r="C606" s="14" t="s">
        <v>125</v>
      </c>
      <c r="D606" s="44" t="s">
        <v>69</v>
      </c>
      <c r="E606" s="44" t="s">
        <v>16</v>
      </c>
      <c r="F606" s="44"/>
      <c r="G606" s="239"/>
      <c r="H606" s="239"/>
      <c r="I606" s="198"/>
      <c r="J606" s="197"/>
      <c r="K606" s="192" t="e">
        <f t="shared" si="12"/>
        <v>#DIV/0!</v>
      </c>
    </row>
    <row r="607" spans="1:11" s="21" customFormat="1" ht="12.75" hidden="1">
      <c r="A607" s="16" t="s">
        <v>17</v>
      </c>
      <c r="B607" s="17" t="s">
        <v>159</v>
      </c>
      <c r="C607" s="17" t="s">
        <v>125</v>
      </c>
      <c r="D607" s="17" t="s">
        <v>69</v>
      </c>
      <c r="E607" s="17" t="s">
        <v>18</v>
      </c>
      <c r="F607" s="17"/>
      <c r="G607" s="236"/>
      <c r="H607" s="236"/>
      <c r="I607" s="215"/>
      <c r="J607" s="214"/>
      <c r="K607" s="192" t="e">
        <f t="shared" si="12"/>
        <v>#DIV/0!</v>
      </c>
    </row>
    <row r="608" spans="1:11" s="21" customFormat="1" ht="12.75" hidden="1">
      <c r="A608" s="16" t="s">
        <v>21</v>
      </c>
      <c r="B608" s="17" t="s">
        <v>159</v>
      </c>
      <c r="C608" s="17" t="s">
        <v>125</v>
      </c>
      <c r="D608" s="17" t="s">
        <v>69</v>
      </c>
      <c r="E608" s="17" t="s">
        <v>19</v>
      </c>
      <c r="F608" s="17"/>
      <c r="G608" s="236"/>
      <c r="H608" s="236"/>
      <c r="I608" s="215"/>
      <c r="J608" s="214"/>
      <c r="K608" s="192" t="e">
        <f t="shared" si="12"/>
        <v>#DIV/0!</v>
      </c>
    </row>
    <row r="609" spans="1:11" s="21" customFormat="1" ht="25.5" hidden="1">
      <c r="A609" s="11" t="s">
        <v>20</v>
      </c>
      <c r="B609" s="4"/>
      <c r="C609" s="4"/>
      <c r="D609" s="4"/>
      <c r="E609" s="4"/>
      <c r="F609" s="4" t="s">
        <v>183</v>
      </c>
      <c r="G609" s="236"/>
      <c r="H609" s="236"/>
      <c r="I609" s="215"/>
      <c r="J609" s="214"/>
      <c r="K609" s="192" t="e">
        <f t="shared" si="12"/>
        <v>#DIV/0!</v>
      </c>
    </row>
    <row r="610" spans="1:11" s="21" customFormat="1" ht="38.25" hidden="1">
      <c r="A610" s="8" t="s">
        <v>22</v>
      </c>
      <c r="B610" s="4"/>
      <c r="C610" s="4"/>
      <c r="D610" s="4"/>
      <c r="E610" s="4"/>
      <c r="F610" s="4" t="s">
        <v>185</v>
      </c>
      <c r="G610" s="236"/>
      <c r="H610" s="236"/>
      <c r="I610" s="215"/>
      <c r="J610" s="214"/>
      <c r="K610" s="192" t="e">
        <f t="shared" si="12"/>
        <v>#DIV/0!</v>
      </c>
    </row>
    <row r="611" spans="1:11" s="21" customFormat="1" ht="12.75" hidden="1">
      <c r="A611" s="16" t="s">
        <v>23</v>
      </c>
      <c r="B611" s="17" t="s">
        <v>159</v>
      </c>
      <c r="C611" s="17" t="s">
        <v>125</v>
      </c>
      <c r="D611" s="17" t="s">
        <v>69</v>
      </c>
      <c r="E611" s="17" t="s">
        <v>24</v>
      </c>
      <c r="F611" s="17"/>
      <c r="G611" s="236"/>
      <c r="H611" s="236"/>
      <c r="I611" s="215"/>
      <c r="J611" s="214"/>
      <c r="K611" s="192" t="e">
        <f t="shared" si="12"/>
        <v>#DIV/0!</v>
      </c>
    </row>
    <row r="612" spans="1:11" s="21" customFormat="1" ht="17.25" customHeight="1" hidden="1">
      <c r="A612" s="7" t="s">
        <v>25</v>
      </c>
      <c r="B612" s="4"/>
      <c r="C612" s="4"/>
      <c r="D612" s="4"/>
      <c r="E612" s="4"/>
      <c r="F612" s="4" t="s">
        <v>186</v>
      </c>
      <c r="G612" s="236"/>
      <c r="H612" s="236"/>
      <c r="I612" s="215"/>
      <c r="J612" s="214"/>
      <c r="K612" s="192" t="e">
        <f t="shared" si="12"/>
        <v>#DIV/0!</v>
      </c>
    </row>
    <row r="613" spans="1:11" s="21" customFormat="1" ht="26.25" customHeight="1" hidden="1">
      <c r="A613" s="7" t="s">
        <v>26</v>
      </c>
      <c r="B613" s="4"/>
      <c r="C613" s="4"/>
      <c r="D613" s="4"/>
      <c r="E613" s="4"/>
      <c r="F613" s="4" t="s">
        <v>187</v>
      </c>
      <c r="G613" s="236"/>
      <c r="H613" s="236"/>
      <c r="I613" s="215"/>
      <c r="J613" s="214"/>
      <c r="K613" s="192" t="e">
        <f t="shared" si="12"/>
        <v>#DIV/0!</v>
      </c>
    </row>
    <row r="614" spans="1:11" s="21" customFormat="1" ht="12.75" hidden="1">
      <c r="A614" s="7" t="s">
        <v>27</v>
      </c>
      <c r="B614" s="4"/>
      <c r="C614" s="4"/>
      <c r="D614" s="4"/>
      <c r="E614" s="4"/>
      <c r="F614" s="4" t="s">
        <v>188</v>
      </c>
      <c r="G614" s="236"/>
      <c r="H614" s="236"/>
      <c r="I614" s="215"/>
      <c r="J614" s="214"/>
      <c r="K614" s="192" t="e">
        <f t="shared" si="12"/>
        <v>#DIV/0!</v>
      </c>
    </row>
    <row r="615" spans="1:11" s="21" customFormat="1" ht="16.5" customHeight="1" hidden="1">
      <c r="A615" s="16" t="s">
        <v>28</v>
      </c>
      <c r="B615" s="17" t="s">
        <v>159</v>
      </c>
      <c r="C615" s="17" t="s">
        <v>125</v>
      </c>
      <c r="D615" s="17" t="s">
        <v>69</v>
      </c>
      <c r="E615" s="17" t="s">
        <v>29</v>
      </c>
      <c r="F615" s="17"/>
      <c r="G615" s="236"/>
      <c r="H615" s="236"/>
      <c r="I615" s="215"/>
      <c r="J615" s="214"/>
      <c r="K615" s="192" t="e">
        <f t="shared" si="12"/>
        <v>#DIV/0!</v>
      </c>
    </row>
    <row r="616" spans="1:11" s="21" customFormat="1" ht="12.75" hidden="1">
      <c r="A616" s="16" t="s">
        <v>30</v>
      </c>
      <c r="B616" s="17" t="s">
        <v>159</v>
      </c>
      <c r="C616" s="17" t="s">
        <v>125</v>
      </c>
      <c r="D616" s="17" t="s">
        <v>69</v>
      </c>
      <c r="E616" s="17" t="s">
        <v>31</v>
      </c>
      <c r="F616" s="17"/>
      <c r="G616" s="236"/>
      <c r="H616" s="236"/>
      <c r="I616" s="215"/>
      <c r="J616" s="214"/>
      <c r="K616" s="192" t="e">
        <f t="shared" si="12"/>
        <v>#DIV/0!</v>
      </c>
    </row>
    <row r="617" spans="1:11" s="21" customFormat="1" ht="12.75" hidden="1">
      <c r="A617" s="7" t="s">
        <v>32</v>
      </c>
      <c r="B617" s="17"/>
      <c r="C617" s="17"/>
      <c r="D617" s="17"/>
      <c r="E617" s="17"/>
      <c r="F617" s="17" t="s">
        <v>189</v>
      </c>
      <c r="G617" s="236"/>
      <c r="H617" s="236"/>
      <c r="I617" s="215"/>
      <c r="J617" s="214"/>
      <c r="K617" s="192" t="e">
        <f t="shared" si="12"/>
        <v>#DIV/0!</v>
      </c>
    </row>
    <row r="618" spans="1:11" s="21" customFormat="1" ht="12.75" hidden="1">
      <c r="A618" s="7" t="s">
        <v>33</v>
      </c>
      <c r="B618" s="17"/>
      <c r="C618" s="17"/>
      <c r="D618" s="17"/>
      <c r="E618" s="17"/>
      <c r="F618" s="17" t="s">
        <v>191</v>
      </c>
      <c r="G618" s="236"/>
      <c r="H618" s="236"/>
      <c r="I618" s="215"/>
      <c r="J618" s="214"/>
      <c r="K618" s="192" t="e">
        <f t="shared" si="12"/>
        <v>#DIV/0!</v>
      </c>
    </row>
    <row r="619" spans="1:11" s="21" customFormat="1" ht="25.5" hidden="1">
      <c r="A619" s="7" t="s">
        <v>34</v>
      </c>
      <c r="B619" s="17"/>
      <c r="C619" s="17"/>
      <c r="D619" s="17"/>
      <c r="E619" s="17"/>
      <c r="F619" s="17" t="s">
        <v>221</v>
      </c>
      <c r="G619" s="236"/>
      <c r="H619" s="236"/>
      <c r="I619" s="215"/>
      <c r="J619" s="214"/>
      <c r="K619" s="192" t="e">
        <f t="shared" si="12"/>
        <v>#DIV/0!</v>
      </c>
    </row>
    <row r="620" spans="1:11" s="21" customFormat="1" ht="25.5" hidden="1">
      <c r="A620" s="7" t="s">
        <v>35</v>
      </c>
      <c r="B620" s="17"/>
      <c r="C620" s="17"/>
      <c r="D620" s="17"/>
      <c r="E620" s="17"/>
      <c r="F620" s="17" t="s">
        <v>190</v>
      </c>
      <c r="G620" s="236"/>
      <c r="H620" s="236"/>
      <c r="I620" s="215"/>
      <c r="J620" s="214"/>
      <c r="K620" s="192" t="e">
        <f t="shared" si="12"/>
        <v>#DIV/0!</v>
      </c>
    </row>
    <row r="621" spans="1:11" s="21" customFormat="1" ht="51" hidden="1">
      <c r="A621" s="7" t="s">
        <v>36</v>
      </c>
      <c r="B621" s="17"/>
      <c r="C621" s="17"/>
      <c r="D621" s="17"/>
      <c r="E621" s="17"/>
      <c r="F621" s="17" t="s">
        <v>190</v>
      </c>
      <c r="G621" s="236"/>
      <c r="H621" s="236"/>
      <c r="I621" s="215"/>
      <c r="J621" s="214"/>
      <c r="K621" s="192" t="e">
        <f t="shared" si="12"/>
        <v>#DIV/0!</v>
      </c>
    </row>
    <row r="622" spans="1:11" s="21" customFormat="1" ht="12.75" hidden="1">
      <c r="A622" s="16" t="s">
        <v>37</v>
      </c>
      <c r="B622" s="17" t="s">
        <v>159</v>
      </c>
      <c r="C622" s="17" t="s">
        <v>125</v>
      </c>
      <c r="D622" s="17" t="s">
        <v>69</v>
      </c>
      <c r="E622" s="17" t="s">
        <v>38</v>
      </c>
      <c r="F622" s="17"/>
      <c r="G622" s="236"/>
      <c r="H622" s="236"/>
      <c r="I622" s="215"/>
      <c r="J622" s="214"/>
      <c r="K622" s="192" t="e">
        <f t="shared" si="12"/>
        <v>#DIV/0!</v>
      </c>
    </row>
    <row r="623" spans="1:11" s="21" customFormat="1" ht="38.25" hidden="1">
      <c r="A623" s="11" t="s">
        <v>39</v>
      </c>
      <c r="B623" s="20"/>
      <c r="C623" s="20"/>
      <c r="D623" s="20"/>
      <c r="E623" s="20"/>
      <c r="F623" s="20" t="s">
        <v>183</v>
      </c>
      <c r="G623" s="236"/>
      <c r="H623" s="236"/>
      <c r="I623" s="215"/>
      <c r="J623" s="214"/>
      <c r="K623" s="192" t="e">
        <f t="shared" si="12"/>
        <v>#DIV/0!</v>
      </c>
    </row>
    <row r="624" spans="1:11" s="21" customFormat="1" ht="33.75" customHeight="1" hidden="1">
      <c r="A624" s="19" t="s">
        <v>40</v>
      </c>
      <c r="B624" s="20"/>
      <c r="C624" s="20"/>
      <c r="D624" s="20"/>
      <c r="E624" s="20"/>
      <c r="F624" s="20" t="s">
        <v>222</v>
      </c>
      <c r="G624" s="236"/>
      <c r="H624" s="236"/>
      <c r="I624" s="215"/>
      <c r="J624" s="214"/>
      <c r="K624" s="192" t="e">
        <f t="shared" si="12"/>
        <v>#DIV/0!</v>
      </c>
    </row>
    <row r="625" spans="1:11" s="21" customFormat="1" ht="25.5" hidden="1">
      <c r="A625" s="12" t="s">
        <v>41</v>
      </c>
      <c r="B625" s="20"/>
      <c r="C625" s="20"/>
      <c r="D625" s="20"/>
      <c r="E625" s="20"/>
      <c r="F625" s="20" t="s">
        <v>192</v>
      </c>
      <c r="G625" s="236"/>
      <c r="H625" s="236"/>
      <c r="I625" s="215"/>
      <c r="J625" s="214"/>
      <c r="K625" s="192" t="e">
        <f t="shared" si="12"/>
        <v>#DIV/0!</v>
      </c>
    </row>
    <row r="626" spans="1:11" s="45" customFormat="1" ht="12.75" hidden="1">
      <c r="A626" s="43" t="s">
        <v>42</v>
      </c>
      <c r="B626" s="44" t="s">
        <v>159</v>
      </c>
      <c r="C626" s="14" t="s">
        <v>125</v>
      </c>
      <c r="D626" s="44" t="s">
        <v>69</v>
      </c>
      <c r="E626" s="44" t="s">
        <v>43</v>
      </c>
      <c r="F626" s="44"/>
      <c r="G626" s="239"/>
      <c r="H626" s="239"/>
      <c r="I626" s="198"/>
      <c r="J626" s="197"/>
      <c r="K626" s="192" t="e">
        <f t="shared" si="12"/>
        <v>#DIV/0!</v>
      </c>
    </row>
    <row r="627" spans="1:11" s="21" customFormat="1" ht="12.75" hidden="1">
      <c r="A627" s="16" t="s">
        <v>44</v>
      </c>
      <c r="B627" s="17" t="s">
        <v>159</v>
      </c>
      <c r="C627" s="17" t="s">
        <v>125</v>
      </c>
      <c r="D627" s="17" t="s">
        <v>69</v>
      </c>
      <c r="E627" s="17" t="s">
        <v>45</v>
      </c>
      <c r="F627" s="17"/>
      <c r="G627" s="236"/>
      <c r="H627" s="236"/>
      <c r="I627" s="215"/>
      <c r="J627" s="214"/>
      <c r="K627" s="192" t="e">
        <f t="shared" si="12"/>
        <v>#DIV/0!</v>
      </c>
    </row>
    <row r="628" spans="1:11" s="21" customFormat="1" ht="12.75" hidden="1">
      <c r="A628" s="6" t="s">
        <v>46</v>
      </c>
      <c r="B628" s="20"/>
      <c r="C628" s="20"/>
      <c r="D628" s="20"/>
      <c r="E628" s="20"/>
      <c r="F628" s="20"/>
      <c r="G628" s="236"/>
      <c r="H628" s="236"/>
      <c r="I628" s="215"/>
      <c r="J628" s="214"/>
      <c r="K628" s="192" t="e">
        <f t="shared" si="12"/>
        <v>#DIV/0!</v>
      </c>
    </row>
    <row r="629" spans="1:11" s="45" customFormat="1" ht="12.75" hidden="1">
      <c r="A629" s="43" t="s">
        <v>47</v>
      </c>
      <c r="B629" s="44" t="s">
        <v>159</v>
      </c>
      <c r="C629" s="14" t="s">
        <v>125</v>
      </c>
      <c r="D629" s="44" t="s">
        <v>69</v>
      </c>
      <c r="E629" s="44" t="s">
        <v>48</v>
      </c>
      <c r="F629" s="44"/>
      <c r="G629" s="239"/>
      <c r="H629" s="239"/>
      <c r="I629" s="198"/>
      <c r="J629" s="197"/>
      <c r="K629" s="192" t="e">
        <f t="shared" si="12"/>
        <v>#DIV/0!</v>
      </c>
    </row>
    <row r="630" spans="1:11" s="21" customFormat="1" ht="25.5" hidden="1">
      <c r="A630" s="12" t="s">
        <v>41</v>
      </c>
      <c r="B630" s="20"/>
      <c r="C630" s="20"/>
      <c r="D630" s="20"/>
      <c r="E630" s="20"/>
      <c r="F630" s="20"/>
      <c r="G630" s="236"/>
      <c r="H630" s="236"/>
      <c r="I630" s="215"/>
      <c r="J630" s="214"/>
      <c r="K630" s="192" t="e">
        <f t="shared" si="12"/>
        <v>#DIV/0!</v>
      </c>
    </row>
    <row r="631" spans="1:11" s="45" customFormat="1" ht="12.75" hidden="1">
      <c r="A631" s="43" t="s">
        <v>49</v>
      </c>
      <c r="B631" s="44" t="s">
        <v>159</v>
      </c>
      <c r="C631" s="14" t="s">
        <v>125</v>
      </c>
      <c r="D631" s="44" t="s">
        <v>69</v>
      </c>
      <c r="E631" s="44" t="s">
        <v>50</v>
      </c>
      <c r="F631" s="44"/>
      <c r="G631" s="239"/>
      <c r="H631" s="239"/>
      <c r="I631" s="198"/>
      <c r="J631" s="197"/>
      <c r="K631" s="192" t="e">
        <f t="shared" si="12"/>
        <v>#DIV/0!</v>
      </c>
    </row>
    <row r="632" spans="1:11" s="21" customFormat="1" ht="12.75" hidden="1">
      <c r="A632" s="16" t="s">
        <v>51</v>
      </c>
      <c r="B632" s="17" t="s">
        <v>159</v>
      </c>
      <c r="C632" s="17" t="s">
        <v>125</v>
      </c>
      <c r="D632" s="17" t="s">
        <v>69</v>
      </c>
      <c r="E632" s="17" t="s">
        <v>52</v>
      </c>
      <c r="F632" s="17"/>
      <c r="G632" s="236"/>
      <c r="H632" s="236"/>
      <c r="I632" s="215"/>
      <c r="J632" s="214"/>
      <c r="K632" s="192" t="e">
        <f t="shared" si="12"/>
        <v>#DIV/0!</v>
      </c>
    </row>
    <row r="633" spans="1:11" s="21" customFormat="1" ht="12.75" hidden="1">
      <c r="A633" s="7" t="s">
        <v>53</v>
      </c>
      <c r="B633" s="20"/>
      <c r="C633" s="20"/>
      <c r="D633" s="20"/>
      <c r="E633" s="20"/>
      <c r="F633" s="20" t="s">
        <v>223</v>
      </c>
      <c r="G633" s="236"/>
      <c r="H633" s="236"/>
      <c r="I633" s="215"/>
      <c r="J633" s="214"/>
      <c r="K633" s="192" t="e">
        <f t="shared" si="12"/>
        <v>#DIV/0!</v>
      </c>
    </row>
    <row r="634" spans="1:11" s="21" customFormat="1" ht="52.5" customHeight="1" hidden="1">
      <c r="A634" s="7" t="s">
        <v>54</v>
      </c>
      <c r="B634" s="20"/>
      <c r="C634" s="20"/>
      <c r="D634" s="20"/>
      <c r="E634" s="20"/>
      <c r="F634" s="20" t="s">
        <v>194</v>
      </c>
      <c r="G634" s="236"/>
      <c r="H634" s="236"/>
      <c r="I634" s="215"/>
      <c r="J634" s="214"/>
      <c r="K634" s="192" t="e">
        <f t="shared" si="12"/>
        <v>#DIV/0!</v>
      </c>
    </row>
    <row r="635" spans="1:11" s="21" customFormat="1" ht="51" customHeight="1" hidden="1">
      <c r="A635" s="7" t="s">
        <v>55</v>
      </c>
      <c r="B635" s="20"/>
      <c r="C635" s="20"/>
      <c r="D635" s="20"/>
      <c r="E635" s="20"/>
      <c r="F635" s="20" t="s">
        <v>193</v>
      </c>
      <c r="G635" s="236"/>
      <c r="H635" s="236"/>
      <c r="I635" s="215"/>
      <c r="J635" s="214"/>
      <c r="K635" s="192" t="e">
        <f t="shared" si="12"/>
        <v>#DIV/0!</v>
      </c>
    </row>
    <row r="636" spans="1:11" s="21" customFormat="1" ht="15.75" customHeight="1" hidden="1">
      <c r="A636" s="16" t="s">
        <v>56</v>
      </c>
      <c r="B636" s="17" t="s">
        <v>159</v>
      </c>
      <c r="C636" s="17" t="s">
        <v>125</v>
      </c>
      <c r="D636" s="17" t="s">
        <v>69</v>
      </c>
      <c r="E636" s="17" t="s">
        <v>57</v>
      </c>
      <c r="F636" s="17"/>
      <c r="G636" s="236"/>
      <c r="H636" s="236"/>
      <c r="I636" s="215"/>
      <c r="J636" s="214"/>
      <c r="K636" s="192" t="e">
        <f t="shared" si="12"/>
        <v>#DIV/0!</v>
      </c>
    </row>
    <row r="637" spans="1:11" s="21" customFormat="1" ht="25.5" hidden="1">
      <c r="A637" s="7" t="s">
        <v>58</v>
      </c>
      <c r="B637" s="20"/>
      <c r="C637" s="20"/>
      <c r="D637" s="20"/>
      <c r="E637" s="20"/>
      <c r="F637" s="20" t="s">
        <v>195</v>
      </c>
      <c r="G637" s="236"/>
      <c r="H637" s="236"/>
      <c r="I637" s="215"/>
      <c r="J637" s="214"/>
      <c r="K637" s="192" t="e">
        <f t="shared" si="12"/>
        <v>#DIV/0!</v>
      </c>
    </row>
    <row r="638" spans="1:11" s="21" customFormat="1" ht="12.75" hidden="1">
      <c r="A638" s="7" t="s">
        <v>59</v>
      </c>
      <c r="B638" s="20"/>
      <c r="C638" s="20"/>
      <c r="D638" s="20"/>
      <c r="E638" s="20"/>
      <c r="F638" s="20" t="s">
        <v>196</v>
      </c>
      <c r="G638" s="236"/>
      <c r="H638" s="236"/>
      <c r="I638" s="215"/>
      <c r="J638" s="214"/>
      <c r="K638" s="192" t="e">
        <f t="shared" si="12"/>
        <v>#DIV/0!</v>
      </c>
    </row>
    <row r="639" spans="1:11" s="21" customFormat="1" ht="9.75" customHeight="1" hidden="1">
      <c r="A639" s="7" t="s">
        <v>60</v>
      </c>
      <c r="B639" s="20"/>
      <c r="C639" s="20"/>
      <c r="D639" s="20"/>
      <c r="E639" s="20"/>
      <c r="F639" s="20" t="s">
        <v>197</v>
      </c>
      <c r="G639" s="236"/>
      <c r="H639" s="236"/>
      <c r="I639" s="215"/>
      <c r="J639" s="214"/>
      <c r="K639" s="192" t="e">
        <f t="shared" si="12"/>
        <v>#DIV/0!</v>
      </c>
    </row>
    <row r="640" spans="1:11" s="21" customFormat="1" ht="39" customHeight="1" hidden="1">
      <c r="A640" s="7" t="s">
        <v>61</v>
      </c>
      <c r="B640" s="20"/>
      <c r="C640" s="20"/>
      <c r="D640" s="20"/>
      <c r="E640" s="20"/>
      <c r="F640" s="20" t="s">
        <v>198</v>
      </c>
      <c r="G640" s="236"/>
      <c r="H640" s="236"/>
      <c r="I640" s="215"/>
      <c r="J640" s="214"/>
      <c r="K640" s="192" t="e">
        <f t="shared" si="12"/>
        <v>#DIV/0!</v>
      </c>
    </row>
    <row r="641" spans="1:11" s="21" customFormat="1" ht="12.75" hidden="1">
      <c r="A641" s="7"/>
      <c r="B641" s="20"/>
      <c r="C641" s="20"/>
      <c r="D641" s="20"/>
      <c r="E641" s="20"/>
      <c r="F641" s="20"/>
      <c r="G641" s="236"/>
      <c r="H641" s="236"/>
      <c r="I641" s="215"/>
      <c r="J641" s="214"/>
      <c r="K641" s="192" t="e">
        <f t="shared" si="12"/>
        <v>#DIV/0!</v>
      </c>
    </row>
    <row r="642" spans="1:11" s="21" customFormat="1" ht="12.75" hidden="1">
      <c r="A642" s="26" t="s">
        <v>75</v>
      </c>
      <c r="B642" s="24" t="s">
        <v>156</v>
      </c>
      <c r="C642" s="24" t="s">
        <v>88</v>
      </c>
      <c r="D642" s="24" t="s">
        <v>2</v>
      </c>
      <c r="E642" s="24"/>
      <c r="F642" s="24"/>
      <c r="G642" s="236"/>
      <c r="H642" s="236"/>
      <c r="I642" s="215"/>
      <c r="J642" s="214"/>
      <c r="K642" s="192" t="e">
        <f t="shared" si="12"/>
        <v>#DIV/0!</v>
      </c>
    </row>
    <row r="643" spans="1:11" s="45" customFormat="1" ht="12.75" hidden="1">
      <c r="A643" s="43" t="s">
        <v>4</v>
      </c>
      <c r="B643" s="44" t="s">
        <v>156</v>
      </c>
      <c r="C643" s="44" t="s">
        <v>88</v>
      </c>
      <c r="D643" s="44" t="s">
        <v>2</v>
      </c>
      <c r="E643" s="44" t="s">
        <v>5</v>
      </c>
      <c r="F643" s="44"/>
      <c r="G643" s="239"/>
      <c r="H643" s="239"/>
      <c r="I643" s="198"/>
      <c r="J643" s="197"/>
      <c r="K643" s="192" t="e">
        <f t="shared" si="12"/>
        <v>#DIV/0!</v>
      </c>
    </row>
    <row r="644" spans="1:11" s="28" customFormat="1" ht="12.75" hidden="1">
      <c r="A644" s="87" t="s">
        <v>6</v>
      </c>
      <c r="B644" s="27" t="s">
        <v>156</v>
      </c>
      <c r="C644" s="27" t="s">
        <v>88</v>
      </c>
      <c r="D644" s="27" t="s">
        <v>2</v>
      </c>
      <c r="E644" s="27" t="s">
        <v>7</v>
      </c>
      <c r="F644" s="27"/>
      <c r="G644" s="249"/>
      <c r="H644" s="249"/>
      <c r="I644" s="202"/>
      <c r="J644" s="201"/>
      <c r="K644" s="192" t="e">
        <f t="shared" si="12"/>
        <v>#DIV/0!</v>
      </c>
    </row>
    <row r="645" spans="1:11" s="28" customFormat="1" ht="12.75" hidden="1">
      <c r="A645" s="87" t="s">
        <v>8</v>
      </c>
      <c r="B645" s="27" t="s">
        <v>156</v>
      </c>
      <c r="C645" s="27" t="s">
        <v>88</v>
      </c>
      <c r="D645" s="27" t="s">
        <v>2</v>
      </c>
      <c r="E645" s="27" t="s">
        <v>9</v>
      </c>
      <c r="F645" s="27"/>
      <c r="G645" s="249"/>
      <c r="H645" s="249"/>
      <c r="I645" s="202"/>
      <c r="J645" s="201"/>
      <c r="K645" s="192" t="e">
        <f t="shared" si="12"/>
        <v>#DIV/0!</v>
      </c>
    </row>
    <row r="646" spans="1:11" s="21" customFormat="1" ht="25.5" hidden="1">
      <c r="A646" s="11" t="s">
        <v>10</v>
      </c>
      <c r="B646" s="29"/>
      <c r="C646" s="29"/>
      <c r="D646" s="29"/>
      <c r="E646" s="4"/>
      <c r="F646" s="4" t="s">
        <v>183</v>
      </c>
      <c r="G646" s="236"/>
      <c r="H646" s="236"/>
      <c r="I646" s="215"/>
      <c r="J646" s="214"/>
      <c r="K646" s="192" t="e">
        <f t="shared" si="12"/>
        <v>#DIV/0!</v>
      </c>
    </row>
    <row r="647" spans="1:11" s="21" customFormat="1" ht="12.75" customHeight="1" hidden="1">
      <c r="A647" s="12" t="s">
        <v>11</v>
      </c>
      <c r="B647" s="29"/>
      <c r="C647" s="29"/>
      <c r="D647" s="29"/>
      <c r="E647" s="4"/>
      <c r="F647" s="4" t="s">
        <v>200</v>
      </c>
      <c r="G647" s="236"/>
      <c r="H647" s="236"/>
      <c r="I647" s="215"/>
      <c r="J647" s="214"/>
      <c r="K647" s="192" t="e">
        <f t="shared" si="12"/>
        <v>#DIV/0!</v>
      </c>
    </row>
    <row r="648" spans="1:11" s="30" customFormat="1" ht="12.75" hidden="1">
      <c r="A648" s="65" t="s">
        <v>130</v>
      </c>
      <c r="B648" s="29"/>
      <c r="C648" s="29"/>
      <c r="D648" s="29"/>
      <c r="E648" s="29"/>
      <c r="F648" s="29" t="s">
        <v>199</v>
      </c>
      <c r="G648" s="254"/>
      <c r="H648" s="254"/>
      <c r="I648" s="205"/>
      <c r="J648" s="212"/>
      <c r="K648" s="192" t="e">
        <f t="shared" si="12"/>
        <v>#DIV/0!</v>
      </c>
    </row>
    <row r="649" spans="1:11" s="21" customFormat="1" ht="25.5" hidden="1">
      <c r="A649" s="6" t="s">
        <v>12</v>
      </c>
      <c r="B649" s="29"/>
      <c r="C649" s="29"/>
      <c r="D649" s="29"/>
      <c r="E649" s="4"/>
      <c r="F649" s="4" t="s">
        <v>184</v>
      </c>
      <c r="G649" s="236"/>
      <c r="H649" s="236"/>
      <c r="I649" s="215"/>
      <c r="J649" s="214"/>
      <c r="K649" s="192" t="e">
        <f t="shared" si="12"/>
        <v>#DIV/0!</v>
      </c>
    </row>
    <row r="650" spans="1:11" s="28" customFormat="1" ht="12.75" hidden="1">
      <c r="A650" s="87" t="s">
        <v>13</v>
      </c>
      <c r="B650" s="27" t="s">
        <v>156</v>
      </c>
      <c r="C650" s="27" t="s">
        <v>88</v>
      </c>
      <c r="D650" s="27" t="s">
        <v>2</v>
      </c>
      <c r="E650" s="27" t="s">
        <v>14</v>
      </c>
      <c r="F650" s="17"/>
      <c r="G650" s="249"/>
      <c r="H650" s="249"/>
      <c r="I650" s="202"/>
      <c r="J650" s="201"/>
      <c r="K650" s="192" t="e">
        <f t="shared" si="12"/>
        <v>#DIV/0!</v>
      </c>
    </row>
    <row r="651" spans="1:11" s="45" customFormat="1" ht="12.75" hidden="1">
      <c r="A651" s="43" t="s">
        <v>15</v>
      </c>
      <c r="B651" s="50" t="s">
        <v>156</v>
      </c>
      <c r="C651" s="50" t="s">
        <v>88</v>
      </c>
      <c r="D651" s="50" t="s">
        <v>2</v>
      </c>
      <c r="E651" s="44" t="s">
        <v>16</v>
      </c>
      <c r="F651" s="44"/>
      <c r="G651" s="239"/>
      <c r="H651" s="239"/>
      <c r="I651" s="198"/>
      <c r="J651" s="197"/>
      <c r="K651" s="192" t="e">
        <f aca="true" t="shared" si="13" ref="K651:K714">J651*100/I651</f>
        <v>#DIV/0!</v>
      </c>
    </row>
    <row r="652" spans="1:11" s="28" customFormat="1" ht="12.75" hidden="1">
      <c r="A652" s="87" t="s">
        <v>17</v>
      </c>
      <c r="B652" s="27" t="s">
        <v>156</v>
      </c>
      <c r="C652" s="27" t="s">
        <v>88</v>
      </c>
      <c r="D652" s="27" t="s">
        <v>2</v>
      </c>
      <c r="E652" s="27" t="s">
        <v>18</v>
      </c>
      <c r="F652" s="17"/>
      <c r="G652" s="249"/>
      <c r="H652" s="249"/>
      <c r="I652" s="202"/>
      <c r="J652" s="201"/>
      <c r="K652" s="192" t="e">
        <f t="shared" si="13"/>
        <v>#DIV/0!</v>
      </c>
    </row>
    <row r="653" spans="1:11" s="28" customFormat="1" ht="12.75" hidden="1">
      <c r="A653" s="87" t="s">
        <v>21</v>
      </c>
      <c r="B653" s="27" t="s">
        <v>156</v>
      </c>
      <c r="C653" s="27" t="s">
        <v>88</v>
      </c>
      <c r="D653" s="27" t="s">
        <v>2</v>
      </c>
      <c r="E653" s="27" t="s">
        <v>19</v>
      </c>
      <c r="F653" s="17"/>
      <c r="G653" s="249"/>
      <c r="H653" s="249"/>
      <c r="I653" s="202"/>
      <c r="J653" s="201"/>
      <c r="K653" s="192" t="e">
        <f t="shared" si="13"/>
        <v>#DIV/0!</v>
      </c>
    </row>
    <row r="654" spans="1:11" s="21" customFormat="1" ht="24" customHeight="1" hidden="1">
      <c r="A654" s="11" t="s">
        <v>20</v>
      </c>
      <c r="B654" s="29"/>
      <c r="C654" s="29"/>
      <c r="D654" s="29"/>
      <c r="E654" s="4"/>
      <c r="F654" s="4" t="s">
        <v>183</v>
      </c>
      <c r="G654" s="236"/>
      <c r="H654" s="236"/>
      <c r="I654" s="215"/>
      <c r="J654" s="214"/>
      <c r="K654" s="192" t="e">
        <f t="shared" si="13"/>
        <v>#DIV/0!</v>
      </c>
    </row>
    <row r="655" spans="1:11" s="21" customFormat="1" ht="38.25" hidden="1">
      <c r="A655" s="8" t="s">
        <v>22</v>
      </c>
      <c r="B655" s="29"/>
      <c r="C655" s="29"/>
      <c r="D655" s="29"/>
      <c r="E655" s="4"/>
      <c r="F655" s="4" t="s">
        <v>185</v>
      </c>
      <c r="G655" s="236"/>
      <c r="H655" s="236"/>
      <c r="I655" s="215"/>
      <c r="J655" s="214"/>
      <c r="K655" s="192" t="e">
        <f t="shared" si="13"/>
        <v>#DIV/0!</v>
      </c>
    </row>
    <row r="656" spans="1:11" s="21" customFormat="1" ht="12.75" hidden="1">
      <c r="A656" s="16" t="s">
        <v>23</v>
      </c>
      <c r="B656" s="27" t="s">
        <v>156</v>
      </c>
      <c r="C656" s="27" t="s">
        <v>88</v>
      </c>
      <c r="D656" s="27" t="s">
        <v>2</v>
      </c>
      <c r="E656" s="17" t="s">
        <v>24</v>
      </c>
      <c r="F656" s="17"/>
      <c r="G656" s="236"/>
      <c r="H656" s="236"/>
      <c r="I656" s="215"/>
      <c r="J656" s="214"/>
      <c r="K656" s="192" t="e">
        <f t="shared" si="13"/>
        <v>#DIV/0!</v>
      </c>
    </row>
    <row r="657" spans="1:11" s="21" customFormat="1" ht="25.5" hidden="1">
      <c r="A657" s="7" t="s">
        <v>25</v>
      </c>
      <c r="B657" s="29"/>
      <c r="C657" s="29"/>
      <c r="D657" s="29"/>
      <c r="E657" s="4"/>
      <c r="F657" s="4" t="s">
        <v>186</v>
      </c>
      <c r="G657" s="236"/>
      <c r="H657" s="236"/>
      <c r="I657" s="215"/>
      <c r="J657" s="214"/>
      <c r="K657" s="192" t="e">
        <f t="shared" si="13"/>
        <v>#DIV/0!</v>
      </c>
    </row>
    <row r="658" spans="1:11" s="21" customFormat="1" ht="25.5" hidden="1">
      <c r="A658" s="7" t="s">
        <v>26</v>
      </c>
      <c r="B658" s="29"/>
      <c r="C658" s="29"/>
      <c r="D658" s="29"/>
      <c r="E658" s="4"/>
      <c r="F658" s="4" t="s">
        <v>187</v>
      </c>
      <c r="G658" s="236"/>
      <c r="H658" s="236"/>
      <c r="I658" s="215"/>
      <c r="J658" s="214"/>
      <c r="K658" s="192" t="e">
        <f t="shared" si="13"/>
        <v>#DIV/0!</v>
      </c>
    </row>
    <row r="659" spans="1:11" s="21" customFormat="1" ht="12.75" hidden="1">
      <c r="A659" s="7" t="s">
        <v>27</v>
      </c>
      <c r="B659" s="29"/>
      <c r="C659" s="29"/>
      <c r="D659" s="29"/>
      <c r="E659" s="4"/>
      <c r="F659" s="4" t="s">
        <v>188</v>
      </c>
      <c r="G659" s="236"/>
      <c r="H659" s="236"/>
      <c r="I659" s="215"/>
      <c r="J659" s="214"/>
      <c r="K659" s="192" t="e">
        <f t="shared" si="13"/>
        <v>#DIV/0!</v>
      </c>
    </row>
    <row r="660" spans="1:11" s="28" customFormat="1" ht="12.75" hidden="1">
      <c r="A660" s="87" t="s">
        <v>28</v>
      </c>
      <c r="B660" s="27" t="s">
        <v>156</v>
      </c>
      <c r="C660" s="27" t="s">
        <v>88</v>
      </c>
      <c r="D660" s="27" t="s">
        <v>2</v>
      </c>
      <c r="E660" s="27" t="s">
        <v>29</v>
      </c>
      <c r="F660" s="17"/>
      <c r="G660" s="249"/>
      <c r="H660" s="249"/>
      <c r="I660" s="202"/>
      <c r="J660" s="201"/>
      <c r="K660" s="192" t="e">
        <f t="shared" si="13"/>
        <v>#DIV/0!</v>
      </c>
    </row>
    <row r="661" spans="1:11" s="28" customFormat="1" ht="12.75" hidden="1">
      <c r="A661" s="87" t="s">
        <v>30</v>
      </c>
      <c r="B661" s="27" t="s">
        <v>156</v>
      </c>
      <c r="C661" s="27" t="s">
        <v>88</v>
      </c>
      <c r="D661" s="27" t="s">
        <v>2</v>
      </c>
      <c r="E661" s="27" t="s">
        <v>31</v>
      </c>
      <c r="F661" s="17"/>
      <c r="G661" s="249"/>
      <c r="H661" s="249"/>
      <c r="I661" s="202"/>
      <c r="J661" s="201"/>
      <c r="K661" s="192" t="e">
        <f t="shared" si="13"/>
        <v>#DIV/0!</v>
      </c>
    </row>
    <row r="662" spans="1:11" s="21" customFormat="1" ht="12.75" hidden="1">
      <c r="A662" s="7" t="s">
        <v>32</v>
      </c>
      <c r="B662" s="29"/>
      <c r="C662" s="29"/>
      <c r="D662" s="29"/>
      <c r="E662" s="17"/>
      <c r="F662" s="17" t="s">
        <v>189</v>
      </c>
      <c r="G662" s="236"/>
      <c r="H662" s="236"/>
      <c r="I662" s="215"/>
      <c r="J662" s="214"/>
      <c r="K662" s="192" t="e">
        <f t="shared" si="13"/>
        <v>#DIV/0!</v>
      </c>
    </row>
    <row r="663" spans="1:11" s="21" customFormat="1" ht="12" customHeight="1" hidden="1">
      <c r="A663" s="7" t="s">
        <v>33</v>
      </c>
      <c r="B663" s="29"/>
      <c r="C663" s="29"/>
      <c r="D663" s="29"/>
      <c r="E663" s="17"/>
      <c r="F663" s="17" t="s">
        <v>191</v>
      </c>
      <c r="G663" s="236"/>
      <c r="H663" s="236"/>
      <c r="I663" s="215"/>
      <c r="J663" s="214"/>
      <c r="K663" s="192" t="e">
        <f t="shared" si="13"/>
        <v>#DIV/0!</v>
      </c>
    </row>
    <row r="664" spans="1:11" s="21" customFormat="1" ht="25.5" hidden="1">
      <c r="A664" s="7" t="s">
        <v>34</v>
      </c>
      <c r="B664" s="29"/>
      <c r="C664" s="29"/>
      <c r="D664" s="29"/>
      <c r="E664" s="17"/>
      <c r="F664" s="17" t="s">
        <v>221</v>
      </c>
      <c r="G664" s="236"/>
      <c r="H664" s="236"/>
      <c r="I664" s="215"/>
      <c r="J664" s="214"/>
      <c r="K664" s="192" t="e">
        <f t="shared" si="13"/>
        <v>#DIV/0!</v>
      </c>
    </row>
    <row r="665" spans="1:11" s="21" customFormat="1" ht="25.5" hidden="1">
      <c r="A665" s="7" t="s">
        <v>35</v>
      </c>
      <c r="B665" s="29"/>
      <c r="C665" s="29"/>
      <c r="D665" s="29"/>
      <c r="E665" s="17"/>
      <c r="F665" s="17" t="s">
        <v>190</v>
      </c>
      <c r="G665" s="236"/>
      <c r="H665" s="236"/>
      <c r="I665" s="215"/>
      <c r="J665" s="214"/>
      <c r="K665" s="192" t="e">
        <f t="shared" si="13"/>
        <v>#DIV/0!</v>
      </c>
    </row>
    <row r="666" spans="1:11" s="21" customFormat="1" ht="51" hidden="1">
      <c r="A666" s="7" t="s">
        <v>36</v>
      </c>
      <c r="B666" s="29"/>
      <c r="C666" s="29"/>
      <c r="D666" s="29"/>
      <c r="E666" s="17"/>
      <c r="F666" s="17" t="s">
        <v>190</v>
      </c>
      <c r="G666" s="236"/>
      <c r="H666" s="236"/>
      <c r="I666" s="215"/>
      <c r="J666" s="214"/>
      <c r="K666" s="192" t="e">
        <f t="shared" si="13"/>
        <v>#DIV/0!</v>
      </c>
    </row>
    <row r="667" spans="1:11" s="28" customFormat="1" ht="12.75" hidden="1">
      <c r="A667" s="87" t="s">
        <v>37</v>
      </c>
      <c r="B667" s="27" t="s">
        <v>156</v>
      </c>
      <c r="C667" s="27" t="s">
        <v>88</v>
      </c>
      <c r="D667" s="27" t="s">
        <v>2</v>
      </c>
      <c r="E667" s="27" t="s">
        <v>38</v>
      </c>
      <c r="F667" s="17"/>
      <c r="G667" s="249"/>
      <c r="H667" s="249"/>
      <c r="I667" s="202"/>
      <c r="J667" s="201"/>
      <c r="K667" s="192" t="e">
        <f t="shared" si="13"/>
        <v>#DIV/0!</v>
      </c>
    </row>
    <row r="668" spans="1:11" s="21" customFormat="1" ht="38.25" hidden="1">
      <c r="A668" s="11" t="s">
        <v>39</v>
      </c>
      <c r="B668" s="29"/>
      <c r="C668" s="29"/>
      <c r="D668" s="29"/>
      <c r="E668" s="20"/>
      <c r="F668" s="20" t="s">
        <v>183</v>
      </c>
      <c r="G668" s="236"/>
      <c r="H668" s="236"/>
      <c r="I668" s="215"/>
      <c r="J668" s="214"/>
      <c r="K668" s="192" t="e">
        <f t="shared" si="13"/>
        <v>#DIV/0!</v>
      </c>
    </row>
    <row r="669" spans="1:11" s="21" customFormat="1" ht="38.25" hidden="1">
      <c r="A669" s="19" t="s">
        <v>40</v>
      </c>
      <c r="B669" s="29"/>
      <c r="C669" s="29"/>
      <c r="D669" s="29"/>
      <c r="E669" s="20"/>
      <c r="F669" s="20" t="s">
        <v>222</v>
      </c>
      <c r="G669" s="236"/>
      <c r="H669" s="236"/>
      <c r="I669" s="215"/>
      <c r="J669" s="214"/>
      <c r="K669" s="192" t="e">
        <f t="shared" si="13"/>
        <v>#DIV/0!</v>
      </c>
    </row>
    <row r="670" spans="1:11" s="21" customFormat="1" ht="25.5" hidden="1">
      <c r="A670" s="12" t="s">
        <v>41</v>
      </c>
      <c r="B670" s="29"/>
      <c r="C670" s="29"/>
      <c r="D670" s="29"/>
      <c r="E670" s="20"/>
      <c r="F670" s="20" t="s">
        <v>192</v>
      </c>
      <c r="G670" s="236"/>
      <c r="H670" s="236"/>
      <c r="I670" s="215"/>
      <c r="J670" s="214"/>
      <c r="K670" s="192" t="e">
        <f t="shared" si="13"/>
        <v>#DIV/0!</v>
      </c>
    </row>
    <row r="671" spans="1:11" s="45" customFormat="1" ht="12.75" hidden="1">
      <c r="A671" s="43" t="s">
        <v>42</v>
      </c>
      <c r="B671" s="44" t="s">
        <v>156</v>
      </c>
      <c r="C671" s="44" t="s">
        <v>88</v>
      </c>
      <c r="D671" s="44" t="s">
        <v>2</v>
      </c>
      <c r="E671" s="44" t="s">
        <v>43</v>
      </c>
      <c r="F671" s="44"/>
      <c r="G671" s="239"/>
      <c r="H671" s="239"/>
      <c r="I671" s="198"/>
      <c r="J671" s="197"/>
      <c r="K671" s="192" t="e">
        <f t="shared" si="13"/>
        <v>#DIV/0!</v>
      </c>
    </row>
    <row r="672" spans="1:11" s="28" customFormat="1" ht="12.75" hidden="1">
      <c r="A672" s="87" t="s">
        <v>44</v>
      </c>
      <c r="B672" s="27" t="s">
        <v>156</v>
      </c>
      <c r="C672" s="27" t="s">
        <v>88</v>
      </c>
      <c r="D672" s="27" t="s">
        <v>2</v>
      </c>
      <c r="E672" s="27" t="s">
        <v>45</v>
      </c>
      <c r="F672" s="17"/>
      <c r="G672" s="249"/>
      <c r="H672" s="249"/>
      <c r="I672" s="202"/>
      <c r="J672" s="201"/>
      <c r="K672" s="192" t="e">
        <f t="shared" si="13"/>
        <v>#DIV/0!</v>
      </c>
    </row>
    <row r="673" spans="1:11" s="21" customFormat="1" ht="12.75" hidden="1">
      <c r="A673" s="6" t="s">
        <v>46</v>
      </c>
      <c r="B673" s="29"/>
      <c r="C673" s="29"/>
      <c r="D673" s="29"/>
      <c r="E673" s="20"/>
      <c r="F673" s="20"/>
      <c r="G673" s="236"/>
      <c r="H673" s="236"/>
      <c r="I673" s="215"/>
      <c r="J673" s="214"/>
      <c r="K673" s="192" t="e">
        <f t="shared" si="13"/>
        <v>#DIV/0!</v>
      </c>
    </row>
    <row r="674" spans="1:11" s="28" customFormat="1" ht="12.75" hidden="1">
      <c r="A674" s="64" t="s">
        <v>129</v>
      </c>
      <c r="B674" s="27"/>
      <c r="C674" s="27"/>
      <c r="D674" s="27"/>
      <c r="E674" s="27"/>
      <c r="F674" s="20" t="s">
        <v>209</v>
      </c>
      <c r="G674" s="249"/>
      <c r="H674" s="249"/>
      <c r="I674" s="202"/>
      <c r="J674" s="201"/>
      <c r="K674" s="192" t="e">
        <f t="shared" si="13"/>
        <v>#DIV/0!</v>
      </c>
    </row>
    <row r="675" spans="1:11" s="45" customFormat="1" ht="12.75" hidden="1">
      <c r="A675" s="43" t="s">
        <v>47</v>
      </c>
      <c r="B675" s="44" t="s">
        <v>156</v>
      </c>
      <c r="C675" s="44" t="s">
        <v>88</v>
      </c>
      <c r="D675" s="44" t="s">
        <v>2</v>
      </c>
      <c r="E675" s="44" t="s">
        <v>48</v>
      </c>
      <c r="F675" s="44"/>
      <c r="G675" s="239"/>
      <c r="H675" s="239"/>
      <c r="I675" s="198"/>
      <c r="J675" s="197"/>
      <c r="K675" s="192" t="e">
        <f t="shared" si="13"/>
        <v>#DIV/0!</v>
      </c>
    </row>
    <row r="676" spans="1:11" s="21" customFormat="1" ht="25.5" hidden="1">
      <c r="A676" s="12" t="s">
        <v>41</v>
      </c>
      <c r="B676" s="29"/>
      <c r="C676" s="29"/>
      <c r="D676" s="29"/>
      <c r="E676" s="20"/>
      <c r="F676" s="20"/>
      <c r="G676" s="236"/>
      <c r="H676" s="236"/>
      <c r="I676" s="215"/>
      <c r="J676" s="214"/>
      <c r="K676" s="192" t="e">
        <f t="shared" si="13"/>
        <v>#DIV/0!</v>
      </c>
    </row>
    <row r="677" spans="1:11" s="45" customFormat="1" ht="12.75" hidden="1">
      <c r="A677" s="43" t="s">
        <v>49</v>
      </c>
      <c r="B677" s="44" t="s">
        <v>156</v>
      </c>
      <c r="C677" s="44" t="s">
        <v>88</v>
      </c>
      <c r="D677" s="44" t="s">
        <v>2</v>
      </c>
      <c r="E677" s="44" t="s">
        <v>50</v>
      </c>
      <c r="F677" s="44"/>
      <c r="G677" s="239"/>
      <c r="H677" s="239"/>
      <c r="I677" s="198"/>
      <c r="J677" s="197"/>
      <c r="K677" s="192" t="e">
        <f t="shared" si="13"/>
        <v>#DIV/0!</v>
      </c>
    </row>
    <row r="678" spans="1:11" s="28" customFormat="1" ht="12" customHeight="1" hidden="1">
      <c r="A678" s="87" t="s">
        <v>51</v>
      </c>
      <c r="B678" s="27" t="s">
        <v>156</v>
      </c>
      <c r="C678" s="27" t="s">
        <v>88</v>
      </c>
      <c r="D678" s="27" t="s">
        <v>2</v>
      </c>
      <c r="E678" s="27" t="s">
        <v>52</v>
      </c>
      <c r="F678" s="17"/>
      <c r="G678" s="249"/>
      <c r="H678" s="249"/>
      <c r="I678" s="202"/>
      <c r="J678" s="201"/>
      <c r="K678" s="192" t="e">
        <f t="shared" si="13"/>
        <v>#DIV/0!</v>
      </c>
    </row>
    <row r="679" spans="1:11" s="21" customFormat="1" ht="12.75" hidden="1">
      <c r="A679" s="7" t="s">
        <v>53</v>
      </c>
      <c r="B679" s="29"/>
      <c r="C679" s="29"/>
      <c r="D679" s="29"/>
      <c r="E679" s="20"/>
      <c r="F679" s="20" t="s">
        <v>223</v>
      </c>
      <c r="G679" s="236"/>
      <c r="H679" s="236"/>
      <c r="I679" s="215"/>
      <c r="J679" s="214"/>
      <c r="K679" s="192" t="e">
        <f t="shared" si="13"/>
        <v>#DIV/0!</v>
      </c>
    </row>
    <row r="680" spans="1:11" s="21" customFormat="1" ht="37.5" customHeight="1" hidden="1">
      <c r="A680" s="7" t="s">
        <v>54</v>
      </c>
      <c r="B680" s="29"/>
      <c r="C680" s="29"/>
      <c r="D680" s="29"/>
      <c r="E680" s="20"/>
      <c r="F680" s="20" t="s">
        <v>194</v>
      </c>
      <c r="G680" s="236"/>
      <c r="H680" s="236"/>
      <c r="I680" s="215"/>
      <c r="J680" s="214"/>
      <c r="K680" s="192" t="e">
        <f t="shared" si="13"/>
        <v>#DIV/0!</v>
      </c>
    </row>
    <row r="681" spans="1:11" s="21" customFormat="1" ht="51" hidden="1">
      <c r="A681" s="7" t="s">
        <v>55</v>
      </c>
      <c r="B681" s="29"/>
      <c r="C681" s="29"/>
      <c r="D681" s="29"/>
      <c r="E681" s="20"/>
      <c r="F681" s="20" t="s">
        <v>193</v>
      </c>
      <c r="G681" s="236"/>
      <c r="H681" s="236"/>
      <c r="I681" s="215"/>
      <c r="J681" s="214"/>
      <c r="K681" s="192" t="e">
        <f t="shared" si="13"/>
        <v>#DIV/0!</v>
      </c>
    </row>
    <row r="682" spans="1:11" s="21" customFormat="1" ht="12.75" hidden="1">
      <c r="A682" s="16" t="s">
        <v>56</v>
      </c>
      <c r="B682" s="27" t="s">
        <v>156</v>
      </c>
      <c r="C682" s="27" t="s">
        <v>88</v>
      </c>
      <c r="D682" s="27" t="s">
        <v>2</v>
      </c>
      <c r="E682" s="17" t="s">
        <v>57</v>
      </c>
      <c r="F682" s="17"/>
      <c r="G682" s="236"/>
      <c r="H682" s="236"/>
      <c r="I682" s="215"/>
      <c r="J682" s="214"/>
      <c r="K682" s="192" t="e">
        <f t="shared" si="13"/>
        <v>#DIV/0!</v>
      </c>
    </row>
    <row r="683" spans="1:11" s="21" customFormat="1" ht="25.5" hidden="1">
      <c r="A683" s="7" t="s">
        <v>58</v>
      </c>
      <c r="B683" s="29"/>
      <c r="C683" s="29"/>
      <c r="D683" s="29"/>
      <c r="E683" s="20"/>
      <c r="F683" s="20" t="s">
        <v>195</v>
      </c>
      <c r="G683" s="236"/>
      <c r="H683" s="236"/>
      <c r="I683" s="215"/>
      <c r="J683" s="214"/>
      <c r="K683" s="192" t="e">
        <f t="shared" si="13"/>
        <v>#DIV/0!</v>
      </c>
    </row>
    <row r="684" spans="1:11" s="21" customFormat="1" ht="12.75" hidden="1">
      <c r="A684" s="7" t="s">
        <v>59</v>
      </c>
      <c r="B684" s="29"/>
      <c r="C684" s="29"/>
      <c r="D684" s="29"/>
      <c r="E684" s="20"/>
      <c r="F684" s="20" t="s">
        <v>196</v>
      </c>
      <c r="G684" s="236"/>
      <c r="H684" s="236"/>
      <c r="I684" s="215"/>
      <c r="J684" s="214"/>
      <c r="K684" s="192" t="e">
        <f t="shared" si="13"/>
        <v>#DIV/0!</v>
      </c>
    </row>
    <row r="685" spans="1:11" s="21" customFormat="1" ht="12.75" hidden="1">
      <c r="A685" s="7" t="s">
        <v>60</v>
      </c>
      <c r="B685" s="29"/>
      <c r="C685" s="29"/>
      <c r="D685" s="29"/>
      <c r="E685" s="20"/>
      <c r="F685" s="20" t="s">
        <v>197</v>
      </c>
      <c r="G685" s="236"/>
      <c r="H685" s="236"/>
      <c r="I685" s="215"/>
      <c r="J685" s="214"/>
      <c r="K685" s="192" t="e">
        <f t="shared" si="13"/>
        <v>#DIV/0!</v>
      </c>
    </row>
    <row r="686" spans="1:11" s="21" customFormat="1" ht="38.25" customHeight="1" hidden="1">
      <c r="A686" s="7" t="s">
        <v>61</v>
      </c>
      <c r="B686" s="29"/>
      <c r="C686" s="29"/>
      <c r="D686" s="29"/>
      <c r="E686" s="20"/>
      <c r="F686" s="20" t="s">
        <v>198</v>
      </c>
      <c r="G686" s="236"/>
      <c r="H686" s="236"/>
      <c r="I686" s="215"/>
      <c r="J686" s="214"/>
      <c r="K686" s="192" t="e">
        <f t="shared" si="13"/>
        <v>#DIV/0!</v>
      </c>
    </row>
    <row r="687" spans="1:11" s="21" customFormat="1" ht="12.75" hidden="1">
      <c r="A687" s="7"/>
      <c r="B687" s="20"/>
      <c r="C687" s="20"/>
      <c r="D687" s="20"/>
      <c r="E687" s="20"/>
      <c r="F687" s="20"/>
      <c r="G687" s="236"/>
      <c r="H687" s="236"/>
      <c r="I687" s="215"/>
      <c r="J687" s="214"/>
      <c r="K687" s="192" t="e">
        <f t="shared" si="13"/>
        <v>#DIV/0!</v>
      </c>
    </row>
    <row r="688" spans="1:11" s="21" customFormat="1" ht="30" customHeight="1">
      <c r="A688" s="49" t="s">
        <v>76</v>
      </c>
      <c r="B688" s="48" t="s">
        <v>160</v>
      </c>
      <c r="C688" s="48" t="s">
        <v>88</v>
      </c>
      <c r="D688" s="48" t="s">
        <v>2</v>
      </c>
      <c r="E688" s="160"/>
      <c r="F688" s="160"/>
      <c r="G688" s="238">
        <f>G775+G778</f>
        <v>3411018.89</v>
      </c>
      <c r="H688" s="238">
        <f>H775+H778</f>
        <v>2543518.9</v>
      </c>
      <c r="I688" s="238">
        <f>I775+I778</f>
        <v>2013965.52</v>
      </c>
      <c r="J688" s="238">
        <f>J775+J778</f>
        <v>1559433.11</v>
      </c>
      <c r="K688" s="192">
        <f t="shared" si="13"/>
        <v>77.43097359482103</v>
      </c>
    </row>
    <row r="689" spans="1:11" s="21" customFormat="1" ht="25.5" hidden="1">
      <c r="A689" s="26" t="s">
        <v>77</v>
      </c>
      <c r="B689" s="24" t="s">
        <v>161</v>
      </c>
      <c r="C689" s="24" t="s">
        <v>126</v>
      </c>
      <c r="D689" s="24" t="s">
        <v>69</v>
      </c>
      <c r="E689" s="24"/>
      <c r="F689" s="24"/>
      <c r="G689" s="236"/>
      <c r="H689" s="236"/>
      <c r="I689" s="215"/>
      <c r="J689" s="214"/>
      <c r="K689" s="192" t="e">
        <f t="shared" si="13"/>
        <v>#DIV/0!</v>
      </c>
    </row>
    <row r="690" spans="1:11" s="45" customFormat="1" ht="16.5" customHeight="1" hidden="1">
      <c r="A690" s="43" t="s">
        <v>4</v>
      </c>
      <c r="B690" s="44" t="s">
        <v>161</v>
      </c>
      <c r="C690" s="44" t="s">
        <v>126</v>
      </c>
      <c r="D690" s="44" t="s">
        <v>69</v>
      </c>
      <c r="E690" s="44" t="s">
        <v>5</v>
      </c>
      <c r="F690" s="44"/>
      <c r="G690" s="239"/>
      <c r="H690" s="239"/>
      <c r="I690" s="198"/>
      <c r="J690" s="197"/>
      <c r="K690" s="192" t="e">
        <f t="shared" si="13"/>
        <v>#DIV/0!</v>
      </c>
    </row>
    <row r="691" spans="1:11" s="28" customFormat="1" ht="12.75" hidden="1">
      <c r="A691" s="87" t="s">
        <v>6</v>
      </c>
      <c r="B691" s="27" t="s">
        <v>161</v>
      </c>
      <c r="C691" s="27" t="s">
        <v>126</v>
      </c>
      <c r="D691" s="27" t="s">
        <v>69</v>
      </c>
      <c r="E691" s="27" t="s">
        <v>7</v>
      </c>
      <c r="F691" s="27"/>
      <c r="G691" s="249"/>
      <c r="H691" s="249"/>
      <c r="I691" s="202"/>
      <c r="J691" s="201"/>
      <c r="K691" s="192" t="e">
        <f t="shared" si="13"/>
        <v>#DIV/0!</v>
      </c>
    </row>
    <row r="692" spans="1:11" s="28" customFormat="1" ht="12.75" hidden="1">
      <c r="A692" s="87" t="s">
        <v>8</v>
      </c>
      <c r="B692" s="27" t="s">
        <v>161</v>
      </c>
      <c r="C692" s="27" t="s">
        <v>126</v>
      </c>
      <c r="D692" s="27" t="s">
        <v>69</v>
      </c>
      <c r="E692" s="27" t="s">
        <v>9</v>
      </c>
      <c r="F692" s="27"/>
      <c r="G692" s="249"/>
      <c r="H692" s="249"/>
      <c r="I692" s="202"/>
      <c r="J692" s="201"/>
      <c r="K692" s="192" t="e">
        <f t="shared" si="13"/>
        <v>#DIV/0!</v>
      </c>
    </row>
    <row r="693" spans="1:11" s="21" customFormat="1" ht="25.5" hidden="1">
      <c r="A693" s="11" t="s">
        <v>10</v>
      </c>
      <c r="B693" s="4"/>
      <c r="C693" s="4"/>
      <c r="D693" s="4"/>
      <c r="E693" s="4"/>
      <c r="F693" s="4" t="s">
        <v>183</v>
      </c>
      <c r="G693" s="236"/>
      <c r="H693" s="236"/>
      <c r="I693" s="215"/>
      <c r="J693" s="214"/>
      <c r="K693" s="192" t="e">
        <f t="shared" si="13"/>
        <v>#DIV/0!</v>
      </c>
    </row>
    <row r="694" spans="1:11" s="21" customFormat="1" ht="14.25" customHeight="1" hidden="1">
      <c r="A694" s="12" t="s">
        <v>11</v>
      </c>
      <c r="B694" s="4"/>
      <c r="C694" s="4"/>
      <c r="D694" s="4"/>
      <c r="E694" s="4"/>
      <c r="F694" s="4" t="s">
        <v>200</v>
      </c>
      <c r="G694" s="236"/>
      <c r="H694" s="236"/>
      <c r="I694" s="215"/>
      <c r="J694" s="214"/>
      <c r="K694" s="192" t="e">
        <f t="shared" si="13"/>
        <v>#DIV/0!</v>
      </c>
    </row>
    <row r="695" spans="1:11" s="21" customFormat="1" ht="25.5" hidden="1">
      <c r="A695" s="6" t="s">
        <v>12</v>
      </c>
      <c r="B695" s="4"/>
      <c r="C695" s="4"/>
      <c r="D695" s="4"/>
      <c r="E695" s="4"/>
      <c r="F695" s="4" t="s">
        <v>184</v>
      </c>
      <c r="G695" s="236"/>
      <c r="H695" s="236"/>
      <c r="I695" s="215"/>
      <c r="J695" s="214"/>
      <c r="K695" s="192" t="e">
        <f t="shared" si="13"/>
        <v>#DIV/0!</v>
      </c>
    </row>
    <row r="696" spans="1:11" s="28" customFormat="1" ht="12.75" hidden="1">
      <c r="A696" s="87" t="s">
        <v>13</v>
      </c>
      <c r="B696" s="27" t="s">
        <v>161</v>
      </c>
      <c r="C696" s="27" t="s">
        <v>126</v>
      </c>
      <c r="D696" s="27" t="s">
        <v>69</v>
      </c>
      <c r="E696" s="27" t="s">
        <v>14</v>
      </c>
      <c r="F696" s="27"/>
      <c r="G696" s="249"/>
      <c r="H696" s="249"/>
      <c r="I696" s="202"/>
      <c r="J696" s="201"/>
      <c r="K696" s="192" t="e">
        <f t="shared" si="13"/>
        <v>#DIV/0!</v>
      </c>
    </row>
    <row r="697" spans="1:11" s="45" customFormat="1" ht="12.75" hidden="1">
      <c r="A697" s="43" t="s">
        <v>15</v>
      </c>
      <c r="B697" s="44" t="s">
        <v>161</v>
      </c>
      <c r="C697" s="44" t="s">
        <v>126</v>
      </c>
      <c r="D697" s="44" t="s">
        <v>69</v>
      </c>
      <c r="E697" s="44" t="s">
        <v>16</v>
      </c>
      <c r="F697" s="44"/>
      <c r="G697" s="239"/>
      <c r="H697" s="239"/>
      <c r="I697" s="198"/>
      <c r="J697" s="197"/>
      <c r="K697" s="192" t="e">
        <f t="shared" si="13"/>
        <v>#DIV/0!</v>
      </c>
    </row>
    <row r="698" spans="1:11" s="28" customFormat="1" ht="12.75" hidden="1">
      <c r="A698" s="87" t="s">
        <v>17</v>
      </c>
      <c r="B698" s="27" t="s">
        <v>161</v>
      </c>
      <c r="C698" s="27" t="s">
        <v>126</v>
      </c>
      <c r="D698" s="27" t="s">
        <v>69</v>
      </c>
      <c r="E698" s="27" t="s">
        <v>18</v>
      </c>
      <c r="F698" s="27"/>
      <c r="G698" s="249"/>
      <c r="H698" s="249"/>
      <c r="I698" s="202"/>
      <c r="J698" s="201"/>
      <c r="K698" s="192" t="e">
        <f t="shared" si="13"/>
        <v>#DIV/0!</v>
      </c>
    </row>
    <row r="699" spans="1:11" s="28" customFormat="1" ht="12.75" hidden="1">
      <c r="A699" s="87" t="s">
        <v>21</v>
      </c>
      <c r="B699" s="27" t="s">
        <v>161</v>
      </c>
      <c r="C699" s="27" t="s">
        <v>126</v>
      </c>
      <c r="D699" s="27" t="s">
        <v>69</v>
      </c>
      <c r="E699" s="27" t="s">
        <v>19</v>
      </c>
      <c r="F699" s="27"/>
      <c r="G699" s="249"/>
      <c r="H699" s="249"/>
      <c r="I699" s="202"/>
      <c r="J699" s="201"/>
      <c r="K699" s="192" t="e">
        <f t="shared" si="13"/>
        <v>#DIV/0!</v>
      </c>
    </row>
    <row r="700" spans="1:11" s="21" customFormat="1" ht="25.5" hidden="1">
      <c r="A700" s="11" t="s">
        <v>20</v>
      </c>
      <c r="B700" s="4"/>
      <c r="C700" s="4"/>
      <c r="D700" s="4"/>
      <c r="E700" s="4"/>
      <c r="F700" s="4" t="s">
        <v>183</v>
      </c>
      <c r="G700" s="236"/>
      <c r="H700" s="236"/>
      <c r="I700" s="215"/>
      <c r="J700" s="214"/>
      <c r="K700" s="192" t="e">
        <f t="shared" si="13"/>
        <v>#DIV/0!</v>
      </c>
    </row>
    <row r="701" spans="1:11" s="21" customFormat="1" ht="38.25" hidden="1">
      <c r="A701" s="8" t="s">
        <v>22</v>
      </c>
      <c r="B701" s="4"/>
      <c r="C701" s="4"/>
      <c r="D701" s="4"/>
      <c r="E701" s="4"/>
      <c r="F701" s="4" t="s">
        <v>185</v>
      </c>
      <c r="G701" s="236"/>
      <c r="H701" s="236"/>
      <c r="I701" s="215"/>
      <c r="J701" s="214"/>
      <c r="K701" s="192" t="e">
        <f t="shared" si="13"/>
        <v>#DIV/0!</v>
      </c>
    </row>
    <row r="702" spans="1:11" s="28" customFormat="1" ht="12.75" hidden="1">
      <c r="A702" s="87" t="s">
        <v>23</v>
      </c>
      <c r="B702" s="27" t="s">
        <v>161</v>
      </c>
      <c r="C702" s="27" t="s">
        <v>126</v>
      </c>
      <c r="D702" s="27" t="s">
        <v>69</v>
      </c>
      <c r="E702" s="27" t="s">
        <v>24</v>
      </c>
      <c r="F702" s="27"/>
      <c r="G702" s="249"/>
      <c r="H702" s="249"/>
      <c r="I702" s="202"/>
      <c r="J702" s="201"/>
      <c r="K702" s="192" t="e">
        <f t="shared" si="13"/>
        <v>#DIV/0!</v>
      </c>
    </row>
    <row r="703" spans="1:11" s="21" customFormat="1" ht="25.5" hidden="1">
      <c r="A703" s="7" t="s">
        <v>25</v>
      </c>
      <c r="B703" s="4"/>
      <c r="C703" s="4"/>
      <c r="D703" s="4"/>
      <c r="E703" s="4"/>
      <c r="F703" s="4" t="s">
        <v>186</v>
      </c>
      <c r="G703" s="236"/>
      <c r="H703" s="236"/>
      <c r="I703" s="215"/>
      <c r="J703" s="214"/>
      <c r="K703" s="192" t="e">
        <f t="shared" si="13"/>
        <v>#DIV/0!</v>
      </c>
    </row>
    <row r="704" spans="1:11" s="21" customFormat="1" ht="25.5" customHeight="1" hidden="1">
      <c r="A704" s="7" t="s">
        <v>26</v>
      </c>
      <c r="B704" s="4"/>
      <c r="C704" s="4"/>
      <c r="D704" s="4"/>
      <c r="E704" s="4"/>
      <c r="F704" s="4" t="s">
        <v>187</v>
      </c>
      <c r="G704" s="236"/>
      <c r="H704" s="236"/>
      <c r="I704" s="215"/>
      <c r="J704" s="214"/>
      <c r="K704" s="192" t="e">
        <f t="shared" si="13"/>
        <v>#DIV/0!</v>
      </c>
    </row>
    <row r="705" spans="1:11" s="21" customFormat="1" ht="12.75" hidden="1">
      <c r="A705" s="7" t="s">
        <v>27</v>
      </c>
      <c r="B705" s="4"/>
      <c r="C705" s="4"/>
      <c r="D705" s="4"/>
      <c r="E705" s="4"/>
      <c r="F705" s="4" t="s">
        <v>188</v>
      </c>
      <c r="G705" s="236"/>
      <c r="H705" s="236"/>
      <c r="I705" s="215"/>
      <c r="J705" s="214"/>
      <c r="K705" s="192" t="e">
        <f t="shared" si="13"/>
        <v>#DIV/0!</v>
      </c>
    </row>
    <row r="706" spans="1:11" s="28" customFormat="1" ht="13.5" customHeight="1" hidden="1">
      <c r="A706" s="87" t="s">
        <v>28</v>
      </c>
      <c r="B706" s="27" t="s">
        <v>161</v>
      </c>
      <c r="C706" s="27" t="s">
        <v>126</v>
      </c>
      <c r="D706" s="27" t="s">
        <v>69</v>
      </c>
      <c r="E706" s="27" t="s">
        <v>29</v>
      </c>
      <c r="F706" s="27"/>
      <c r="G706" s="249"/>
      <c r="H706" s="249"/>
      <c r="I706" s="202"/>
      <c r="J706" s="201"/>
      <c r="K706" s="192" t="e">
        <f t="shared" si="13"/>
        <v>#DIV/0!</v>
      </c>
    </row>
    <row r="707" spans="1:11" s="28" customFormat="1" ht="12.75" hidden="1">
      <c r="A707" s="87" t="s">
        <v>30</v>
      </c>
      <c r="B707" s="27" t="s">
        <v>161</v>
      </c>
      <c r="C707" s="27" t="s">
        <v>126</v>
      </c>
      <c r="D707" s="27" t="s">
        <v>69</v>
      </c>
      <c r="E707" s="27" t="s">
        <v>31</v>
      </c>
      <c r="F707" s="27"/>
      <c r="G707" s="249"/>
      <c r="H707" s="249"/>
      <c r="I707" s="202"/>
      <c r="J707" s="201"/>
      <c r="K707" s="192" t="e">
        <f t="shared" si="13"/>
        <v>#DIV/0!</v>
      </c>
    </row>
    <row r="708" spans="1:11" s="21" customFormat="1" ht="12.75" hidden="1">
      <c r="A708" s="7" t="s">
        <v>32</v>
      </c>
      <c r="B708" s="17"/>
      <c r="C708" s="17"/>
      <c r="D708" s="17"/>
      <c r="E708" s="17"/>
      <c r="F708" s="17" t="s">
        <v>189</v>
      </c>
      <c r="G708" s="236"/>
      <c r="H708" s="236"/>
      <c r="I708" s="215"/>
      <c r="J708" s="214"/>
      <c r="K708" s="192" t="e">
        <f t="shared" si="13"/>
        <v>#DIV/0!</v>
      </c>
    </row>
    <row r="709" spans="1:11" s="21" customFormat="1" ht="12.75" hidden="1">
      <c r="A709" s="7" t="s">
        <v>33</v>
      </c>
      <c r="B709" s="17"/>
      <c r="C709" s="17"/>
      <c r="D709" s="17"/>
      <c r="E709" s="17"/>
      <c r="F709" s="17" t="s">
        <v>191</v>
      </c>
      <c r="G709" s="236"/>
      <c r="H709" s="236"/>
      <c r="I709" s="215"/>
      <c r="J709" s="214"/>
      <c r="K709" s="192" t="e">
        <f t="shared" si="13"/>
        <v>#DIV/0!</v>
      </c>
    </row>
    <row r="710" spans="1:11" s="21" customFormat="1" ht="25.5" hidden="1">
      <c r="A710" s="7" t="s">
        <v>34</v>
      </c>
      <c r="B710" s="17"/>
      <c r="C710" s="17"/>
      <c r="D710" s="17"/>
      <c r="E710" s="17"/>
      <c r="F710" s="17" t="s">
        <v>221</v>
      </c>
      <c r="G710" s="236"/>
      <c r="H710" s="236"/>
      <c r="I710" s="215"/>
      <c r="J710" s="214"/>
      <c r="K710" s="192" t="e">
        <f t="shared" si="13"/>
        <v>#DIV/0!</v>
      </c>
    </row>
    <row r="711" spans="1:11" s="21" customFormat="1" ht="25.5" hidden="1">
      <c r="A711" s="7" t="s">
        <v>35</v>
      </c>
      <c r="B711" s="17"/>
      <c r="C711" s="17"/>
      <c r="D711" s="17"/>
      <c r="E711" s="17"/>
      <c r="F711" s="17" t="s">
        <v>190</v>
      </c>
      <c r="G711" s="236"/>
      <c r="H711" s="236"/>
      <c r="I711" s="215"/>
      <c r="J711" s="214"/>
      <c r="K711" s="192" t="e">
        <f t="shared" si="13"/>
        <v>#DIV/0!</v>
      </c>
    </row>
    <row r="712" spans="1:11" s="21" customFormat="1" ht="51" hidden="1">
      <c r="A712" s="7" t="s">
        <v>36</v>
      </c>
      <c r="B712" s="17"/>
      <c r="C712" s="17"/>
      <c r="D712" s="17"/>
      <c r="E712" s="17"/>
      <c r="F712" s="17" t="s">
        <v>190</v>
      </c>
      <c r="G712" s="236"/>
      <c r="H712" s="236"/>
      <c r="I712" s="215"/>
      <c r="J712" s="214"/>
      <c r="K712" s="192" t="e">
        <f t="shared" si="13"/>
        <v>#DIV/0!</v>
      </c>
    </row>
    <row r="713" spans="1:11" s="28" customFormat="1" ht="12.75" hidden="1">
      <c r="A713" s="87" t="s">
        <v>37</v>
      </c>
      <c r="B713" s="27" t="s">
        <v>161</v>
      </c>
      <c r="C713" s="27" t="s">
        <v>126</v>
      </c>
      <c r="D713" s="27" t="s">
        <v>69</v>
      </c>
      <c r="E713" s="27" t="s">
        <v>38</v>
      </c>
      <c r="F713" s="17"/>
      <c r="G713" s="249"/>
      <c r="H713" s="249"/>
      <c r="I713" s="202"/>
      <c r="J713" s="201"/>
      <c r="K713" s="192" t="e">
        <f t="shared" si="13"/>
        <v>#DIV/0!</v>
      </c>
    </row>
    <row r="714" spans="1:11" s="21" customFormat="1" ht="38.25" hidden="1">
      <c r="A714" s="11" t="s">
        <v>39</v>
      </c>
      <c r="B714" s="20"/>
      <c r="C714" s="20"/>
      <c r="D714" s="20"/>
      <c r="E714" s="20"/>
      <c r="F714" s="20" t="s">
        <v>183</v>
      </c>
      <c r="G714" s="236"/>
      <c r="H714" s="236"/>
      <c r="I714" s="215"/>
      <c r="J714" s="214"/>
      <c r="K714" s="192" t="e">
        <f t="shared" si="13"/>
        <v>#DIV/0!</v>
      </c>
    </row>
    <row r="715" spans="1:11" s="21" customFormat="1" ht="38.25" hidden="1">
      <c r="A715" s="19" t="s">
        <v>40</v>
      </c>
      <c r="B715" s="20"/>
      <c r="C715" s="20"/>
      <c r="D715" s="20"/>
      <c r="E715" s="20"/>
      <c r="F715" s="20" t="s">
        <v>222</v>
      </c>
      <c r="G715" s="236"/>
      <c r="H715" s="236"/>
      <c r="I715" s="215"/>
      <c r="J715" s="214"/>
      <c r="K715" s="192" t="e">
        <f aca="true" t="shared" si="14" ref="K715:K778">J715*100/I715</f>
        <v>#DIV/0!</v>
      </c>
    </row>
    <row r="716" spans="1:11" s="21" customFormat="1" ht="26.25" customHeight="1" hidden="1">
      <c r="A716" s="12" t="s">
        <v>41</v>
      </c>
      <c r="B716" s="20"/>
      <c r="C716" s="20"/>
      <c r="D716" s="20"/>
      <c r="E716" s="20"/>
      <c r="F716" s="20" t="s">
        <v>192</v>
      </c>
      <c r="G716" s="236"/>
      <c r="H716" s="236"/>
      <c r="I716" s="215"/>
      <c r="J716" s="214"/>
      <c r="K716" s="192" t="e">
        <f t="shared" si="14"/>
        <v>#DIV/0!</v>
      </c>
    </row>
    <row r="717" spans="1:11" s="45" customFormat="1" ht="12.75" hidden="1">
      <c r="A717" s="43" t="s">
        <v>42</v>
      </c>
      <c r="B717" s="44" t="s">
        <v>161</v>
      </c>
      <c r="C717" s="44" t="s">
        <v>126</v>
      </c>
      <c r="D717" s="44" t="s">
        <v>69</v>
      </c>
      <c r="E717" s="44" t="s">
        <v>43</v>
      </c>
      <c r="F717" s="44"/>
      <c r="G717" s="239"/>
      <c r="H717" s="239"/>
      <c r="I717" s="198"/>
      <c r="J717" s="197"/>
      <c r="K717" s="192" t="e">
        <f t="shared" si="14"/>
        <v>#DIV/0!</v>
      </c>
    </row>
    <row r="718" spans="1:11" s="28" customFormat="1" ht="12.75" hidden="1">
      <c r="A718" s="87" t="s">
        <v>44</v>
      </c>
      <c r="B718" s="27" t="s">
        <v>161</v>
      </c>
      <c r="C718" s="27" t="s">
        <v>126</v>
      </c>
      <c r="D718" s="27" t="s">
        <v>69</v>
      </c>
      <c r="E718" s="27" t="s">
        <v>45</v>
      </c>
      <c r="F718" s="17"/>
      <c r="G718" s="249"/>
      <c r="H718" s="249"/>
      <c r="I718" s="202"/>
      <c r="J718" s="201"/>
      <c r="K718" s="192" t="e">
        <f t="shared" si="14"/>
        <v>#DIV/0!</v>
      </c>
    </row>
    <row r="719" spans="1:11" s="21" customFormat="1" ht="12.75" hidden="1">
      <c r="A719" s="6" t="s">
        <v>46</v>
      </c>
      <c r="B719" s="20"/>
      <c r="C719" s="20"/>
      <c r="D719" s="20"/>
      <c r="E719" s="20"/>
      <c r="F719" s="20"/>
      <c r="G719" s="236"/>
      <c r="H719" s="236"/>
      <c r="I719" s="215"/>
      <c r="J719" s="214"/>
      <c r="K719" s="192" t="e">
        <f t="shared" si="14"/>
        <v>#DIV/0!</v>
      </c>
    </row>
    <row r="720" spans="1:11" s="45" customFormat="1" ht="12.75" hidden="1">
      <c r="A720" s="43" t="s">
        <v>47</v>
      </c>
      <c r="B720" s="44" t="s">
        <v>161</v>
      </c>
      <c r="C720" s="44" t="s">
        <v>126</v>
      </c>
      <c r="D720" s="44" t="s">
        <v>69</v>
      </c>
      <c r="E720" s="44" t="s">
        <v>48</v>
      </c>
      <c r="F720" s="44"/>
      <c r="G720" s="239"/>
      <c r="H720" s="239"/>
      <c r="I720" s="198"/>
      <c r="J720" s="197"/>
      <c r="K720" s="192" t="e">
        <f t="shared" si="14"/>
        <v>#DIV/0!</v>
      </c>
    </row>
    <row r="721" spans="1:11" s="21" customFormat="1" ht="29.25" customHeight="1" hidden="1">
      <c r="A721" s="12" t="s">
        <v>41</v>
      </c>
      <c r="B721" s="20"/>
      <c r="C721" s="20"/>
      <c r="D721" s="20"/>
      <c r="E721" s="20"/>
      <c r="F721" s="20"/>
      <c r="G721" s="236"/>
      <c r="H721" s="236"/>
      <c r="I721" s="215"/>
      <c r="J721" s="214"/>
      <c r="K721" s="192" t="e">
        <f t="shared" si="14"/>
        <v>#DIV/0!</v>
      </c>
    </row>
    <row r="722" spans="1:11" s="45" customFormat="1" ht="12.75" hidden="1">
      <c r="A722" s="43" t="s">
        <v>49</v>
      </c>
      <c r="B722" s="44" t="s">
        <v>161</v>
      </c>
      <c r="C722" s="44" t="s">
        <v>126</v>
      </c>
      <c r="D722" s="44" t="s">
        <v>69</v>
      </c>
      <c r="E722" s="44" t="s">
        <v>50</v>
      </c>
      <c r="F722" s="44"/>
      <c r="G722" s="239"/>
      <c r="H722" s="239"/>
      <c r="I722" s="198"/>
      <c r="J722" s="197"/>
      <c r="K722" s="192" t="e">
        <f t="shared" si="14"/>
        <v>#DIV/0!</v>
      </c>
    </row>
    <row r="723" spans="1:11" s="28" customFormat="1" ht="12.75" hidden="1">
      <c r="A723" s="87" t="s">
        <v>51</v>
      </c>
      <c r="B723" s="27" t="s">
        <v>161</v>
      </c>
      <c r="C723" s="27" t="s">
        <v>126</v>
      </c>
      <c r="D723" s="27" t="s">
        <v>69</v>
      </c>
      <c r="E723" s="27" t="s">
        <v>52</v>
      </c>
      <c r="F723" s="17"/>
      <c r="G723" s="249"/>
      <c r="H723" s="249"/>
      <c r="I723" s="202"/>
      <c r="J723" s="201"/>
      <c r="K723" s="192" t="e">
        <f t="shared" si="14"/>
        <v>#DIV/0!</v>
      </c>
    </row>
    <row r="724" spans="1:11" s="21" customFormat="1" ht="12.75" hidden="1">
      <c r="A724" s="7" t="s">
        <v>53</v>
      </c>
      <c r="B724" s="20"/>
      <c r="C724" s="20"/>
      <c r="D724" s="20"/>
      <c r="E724" s="20"/>
      <c r="F724" s="20" t="s">
        <v>223</v>
      </c>
      <c r="G724" s="236"/>
      <c r="H724" s="236"/>
      <c r="I724" s="215"/>
      <c r="J724" s="214"/>
      <c r="K724" s="192" t="e">
        <f t="shared" si="14"/>
        <v>#DIV/0!</v>
      </c>
    </row>
    <row r="725" spans="1:11" s="21" customFormat="1" ht="51" customHeight="1" hidden="1">
      <c r="A725" s="7" t="s">
        <v>54</v>
      </c>
      <c r="B725" s="20"/>
      <c r="C725" s="20"/>
      <c r="D725" s="20"/>
      <c r="E725" s="20"/>
      <c r="F725" s="20" t="s">
        <v>194</v>
      </c>
      <c r="G725" s="236"/>
      <c r="H725" s="236"/>
      <c r="I725" s="215"/>
      <c r="J725" s="214"/>
      <c r="K725" s="192" t="e">
        <f t="shared" si="14"/>
        <v>#DIV/0!</v>
      </c>
    </row>
    <row r="726" spans="1:11" s="21" customFormat="1" ht="52.5" customHeight="1" hidden="1">
      <c r="A726" s="7" t="s">
        <v>55</v>
      </c>
      <c r="B726" s="20"/>
      <c r="C726" s="20"/>
      <c r="D726" s="20"/>
      <c r="E726" s="20"/>
      <c r="F726" s="20" t="s">
        <v>193</v>
      </c>
      <c r="G726" s="236"/>
      <c r="H726" s="236"/>
      <c r="I726" s="215"/>
      <c r="J726" s="214"/>
      <c r="K726" s="192" t="e">
        <f t="shared" si="14"/>
        <v>#DIV/0!</v>
      </c>
    </row>
    <row r="727" spans="1:11" s="28" customFormat="1" ht="15.75" customHeight="1" hidden="1">
      <c r="A727" s="87" t="s">
        <v>56</v>
      </c>
      <c r="B727" s="27" t="s">
        <v>161</v>
      </c>
      <c r="C727" s="27" t="s">
        <v>126</v>
      </c>
      <c r="D727" s="27" t="s">
        <v>69</v>
      </c>
      <c r="E727" s="27" t="s">
        <v>57</v>
      </c>
      <c r="F727" s="17"/>
      <c r="G727" s="249"/>
      <c r="H727" s="249"/>
      <c r="I727" s="202"/>
      <c r="J727" s="201"/>
      <c r="K727" s="192" t="e">
        <f t="shared" si="14"/>
        <v>#DIV/0!</v>
      </c>
    </row>
    <row r="728" spans="1:11" s="21" customFormat="1" ht="25.5" hidden="1">
      <c r="A728" s="7" t="s">
        <v>58</v>
      </c>
      <c r="B728" s="20"/>
      <c r="C728" s="20"/>
      <c r="D728" s="20"/>
      <c r="E728" s="20"/>
      <c r="F728" s="20" t="s">
        <v>195</v>
      </c>
      <c r="G728" s="236"/>
      <c r="H728" s="236"/>
      <c r="I728" s="215"/>
      <c r="J728" s="214"/>
      <c r="K728" s="192" t="e">
        <f t="shared" si="14"/>
        <v>#DIV/0!</v>
      </c>
    </row>
    <row r="729" spans="1:11" s="21" customFormat="1" ht="12.75" hidden="1">
      <c r="A729" s="7" t="s">
        <v>59</v>
      </c>
      <c r="B729" s="20"/>
      <c r="C729" s="20"/>
      <c r="D729" s="20"/>
      <c r="E729" s="20"/>
      <c r="F729" s="20" t="s">
        <v>196</v>
      </c>
      <c r="G729" s="236"/>
      <c r="H729" s="236"/>
      <c r="I729" s="215"/>
      <c r="J729" s="214"/>
      <c r="K729" s="192" t="e">
        <f t="shared" si="14"/>
        <v>#DIV/0!</v>
      </c>
    </row>
    <row r="730" spans="1:11" s="21" customFormat="1" ht="12.75" hidden="1">
      <c r="A730" s="7" t="s">
        <v>60</v>
      </c>
      <c r="B730" s="20"/>
      <c r="C730" s="20"/>
      <c r="D730" s="20"/>
      <c r="E730" s="20"/>
      <c r="F730" s="20" t="s">
        <v>197</v>
      </c>
      <c r="G730" s="236"/>
      <c r="H730" s="236"/>
      <c r="I730" s="215"/>
      <c r="J730" s="214"/>
      <c r="K730" s="192" t="e">
        <f t="shared" si="14"/>
        <v>#DIV/0!</v>
      </c>
    </row>
    <row r="731" spans="1:11" s="21" customFormat="1" ht="38.25" customHeight="1" hidden="1">
      <c r="A731" s="7" t="s">
        <v>61</v>
      </c>
      <c r="B731" s="20"/>
      <c r="C731" s="20"/>
      <c r="D731" s="20"/>
      <c r="E731" s="20"/>
      <c r="F731" s="20" t="s">
        <v>198</v>
      </c>
      <c r="G731" s="236"/>
      <c r="H731" s="236"/>
      <c r="I731" s="215"/>
      <c r="J731" s="214"/>
      <c r="K731" s="192" t="e">
        <f t="shared" si="14"/>
        <v>#DIV/0!</v>
      </c>
    </row>
    <row r="732" spans="1:11" s="21" customFormat="1" ht="12.75" hidden="1">
      <c r="A732" s="26" t="s">
        <v>78</v>
      </c>
      <c r="B732" s="24" t="s">
        <v>161</v>
      </c>
      <c r="C732" s="24" t="s">
        <v>143</v>
      </c>
      <c r="D732" s="24" t="s">
        <v>69</v>
      </c>
      <c r="E732" s="24"/>
      <c r="F732" s="24"/>
      <c r="G732" s="236"/>
      <c r="H732" s="236"/>
      <c r="I732" s="215"/>
      <c r="J732" s="214"/>
      <c r="K732" s="192" t="e">
        <f t="shared" si="14"/>
        <v>#DIV/0!</v>
      </c>
    </row>
    <row r="733" spans="1:11" s="45" customFormat="1" ht="15.75" customHeight="1" hidden="1">
      <c r="A733" s="43" t="s">
        <v>4</v>
      </c>
      <c r="B733" s="44" t="s">
        <v>161</v>
      </c>
      <c r="C733" s="44" t="s">
        <v>143</v>
      </c>
      <c r="D733" s="44" t="s">
        <v>69</v>
      </c>
      <c r="E733" s="44" t="s">
        <v>5</v>
      </c>
      <c r="F733" s="44"/>
      <c r="G733" s="239"/>
      <c r="H733" s="239"/>
      <c r="I733" s="198"/>
      <c r="J733" s="197"/>
      <c r="K733" s="192" t="e">
        <f t="shared" si="14"/>
        <v>#DIV/0!</v>
      </c>
    </row>
    <row r="734" spans="1:11" s="28" customFormat="1" ht="12.75" hidden="1">
      <c r="A734" s="87" t="s">
        <v>6</v>
      </c>
      <c r="B734" s="27" t="s">
        <v>161</v>
      </c>
      <c r="C734" s="27" t="s">
        <v>143</v>
      </c>
      <c r="D734" s="27" t="s">
        <v>69</v>
      </c>
      <c r="E734" s="27" t="s">
        <v>7</v>
      </c>
      <c r="F734" s="27"/>
      <c r="G734" s="249"/>
      <c r="H734" s="249"/>
      <c r="I734" s="202"/>
      <c r="J734" s="201"/>
      <c r="K734" s="192" t="e">
        <f t="shared" si="14"/>
        <v>#DIV/0!</v>
      </c>
    </row>
    <row r="735" spans="1:11" s="28" customFormat="1" ht="12.75" hidden="1">
      <c r="A735" s="87" t="s">
        <v>8</v>
      </c>
      <c r="B735" s="27" t="s">
        <v>161</v>
      </c>
      <c r="C735" s="27" t="s">
        <v>143</v>
      </c>
      <c r="D735" s="27" t="s">
        <v>69</v>
      </c>
      <c r="E735" s="27" t="s">
        <v>9</v>
      </c>
      <c r="F735" s="27"/>
      <c r="G735" s="249"/>
      <c r="H735" s="249"/>
      <c r="I735" s="202"/>
      <c r="J735" s="201"/>
      <c r="K735" s="192" t="e">
        <f t="shared" si="14"/>
        <v>#DIV/0!</v>
      </c>
    </row>
    <row r="736" spans="1:11" s="21" customFormat="1" ht="25.5" hidden="1">
      <c r="A736" s="11" t="s">
        <v>10</v>
      </c>
      <c r="B736" s="4"/>
      <c r="C736" s="4"/>
      <c r="D736" s="4"/>
      <c r="E736" s="4"/>
      <c r="F736" s="4" t="s">
        <v>183</v>
      </c>
      <c r="G736" s="236"/>
      <c r="H736" s="236"/>
      <c r="I736" s="215"/>
      <c r="J736" s="214"/>
      <c r="K736" s="192" t="e">
        <f t="shared" si="14"/>
        <v>#DIV/0!</v>
      </c>
    </row>
    <row r="737" spans="1:11" s="21" customFormat="1" ht="18" customHeight="1" hidden="1">
      <c r="A737" s="12" t="s">
        <v>11</v>
      </c>
      <c r="B737" s="4"/>
      <c r="C737" s="4"/>
      <c r="D737" s="4"/>
      <c r="E737" s="4"/>
      <c r="F737" s="4" t="s">
        <v>200</v>
      </c>
      <c r="G737" s="236"/>
      <c r="H737" s="236"/>
      <c r="I737" s="215"/>
      <c r="J737" s="214"/>
      <c r="K737" s="192" t="e">
        <f t="shared" si="14"/>
        <v>#DIV/0!</v>
      </c>
    </row>
    <row r="738" spans="1:11" s="21" customFormat="1" ht="25.5" hidden="1">
      <c r="A738" s="6" t="s">
        <v>12</v>
      </c>
      <c r="B738" s="4"/>
      <c r="C738" s="4"/>
      <c r="D738" s="4"/>
      <c r="E738" s="4"/>
      <c r="F738" s="4" t="s">
        <v>184</v>
      </c>
      <c r="G738" s="236"/>
      <c r="H738" s="236"/>
      <c r="I738" s="215"/>
      <c r="J738" s="214"/>
      <c r="K738" s="192" t="e">
        <f t="shared" si="14"/>
        <v>#DIV/0!</v>
      </c>
    </row>
    <row r="739" spans="1:11" s="28" customFormat="1" ht="12.75" hidden="1">
      <c r="A739" s="87" t="s">
        <v>13</v>
      </c>
      <c r="B739" s="27" t="s">
        <v>161</v>
      </c>
      <c r="C739" s="27" t="s">
        <v>143</v>
      </c>
      <c r="D739" s="27" t="s">
        <v>69</v>
      </c>
      <c r="E739" s="27" t="s">
        <v>14</v>
      </c>
      <c r="F739" s="27"/>
      <c r="G739" s="249"/>
      <c r="H739" s="249"/>
      <c r="I739" s="202"/>
      <c r="J739" s="201"/>
      <c r="K739" s="192" t="e">
        <f t="shared" si="14"/>
        <v>#DIV/0!</v>
      </c>
    </row>
    <row r="740" spans="1:11" s="45" customFormat="1" ht="12.75" hidden="1">
      <c r="A740" s="43" t="s">
        <v>15</v>
      </c>
      <c r="B740" s="44" t="s">
        <v>161</v>
      </c>
      <c r="C740" s="44" t="s">
        <v>143</v>
      </c>
      <c r="D740" s="44" t="s">
        <v>69</v>
      </c>
      <c r="E740" s="44" t="s">
        <v>16</v>
      </c>
      <c r="F740" s="44"/>
      <c r="G740" s="239"/>
      <c r="H740" s="239"/>
      <c r="I740" s="198"/>
      <c r="J740" s="197"/>
      <c r="K740" s="192" t="e">
        <f t="shared" si="14"/>
        <v>#DIV/0!</v>
      </c>
    </row>
    <row r="741" spans="1:11" s="28" customFormat="1" ht="12.75" hidden="1">
      <c r="A741" s="87" t="s">
        <v>17</v>
      </c>
      <c r="B741" s="27" t="s">
        <v>161</v>
      </c>
      <c r="C741" s="27" t="s">
        <v>143</v>
      </c>
      <c r="D741" s="27" t="s">
        <v>69</v>
      </c>
      <c r="E741" s="27" t="s">
        <v>18</v>
      </c>
      <c r="F741" s="27"/>
      <c r="G741" s="249"/>
      <c r="H741" s="249"/>
      <c r="I741" s="202"/>
      <c r="J741" s="201"/>
      <c r="K741" s="192" t="e">
        <f t="shared" si="14"/>
        <v>#DIV/0!</v>
      </c>
    </row>
    <row r="742" spans="1:11" s="28" customFormat="1" ht="12.75" hidden="1">
      <c r="A742" s="87" t="s">
        <v>21</v>
      </c>
      <c r="B742" s="27" t="s">
        <v>161</v>
      </c>
      <c r="C742" s="27" t="s">
        <v>143</v>
      </c>
      <c r="D742" s="27" t="s">
        <v>69</v>
      </c>
      <c r="E742" s="27" t="s">
        <v>19</v>
      </c>
      <c r="F742" s="27"/>
      <c r="G742" s="249"/>
      <c r="H742" s="249"/>
      <c r="I742" s="202"/>
      <c r="J742" s="201"/>
      <c r="K742" s="192" t="e">
        <f t="shared" si="14"/>
        <v>#DIV/0!</v>
      </c>
    </row>
    <row r="743" spans="1:11" s="21" customFormat="1" ht="25.5" hidden="1">
      <c r="A743" s="11" t="s">
        <v>20</v>
      </c>
      <c r="B743" s="4"/>
      <c r="C743" s="4"/>
      <c r="D743" s="4"/>
      <c r="E743" s="4"/>
      <c r="F743" s="4" t="s">
        <v>183</v>
      </c>
      <c r="G743" s="236"/>
      <c r="H743" s="236"/>
      <c r="I743" s="215"/>
      <c r="J743" s="214"/>
      <c r="K743" s="192" t="e">
        <f t="shared" si="14"/>
        <v>#DIV/0!</v>
      </c>
    </row>
    <row r="744" spans="1:11" s="21" customFormat="1" ht="38.25" hidden="1">
      <c r="A744" s="8" t="s">
        <v>22</v>
      </c>
      <c r="B744" s="4"/>
      <c r="C744" s="4"/>
      <c r="D744" s="4"/>
      <c r="E744" s="4"/>
      <c r="F744" s="4" t="s">
        <v>185</v>
      </c>
      <c r="G744" s="236"/>
      <c r="H744" s="236"/>
      <c r="I744" s="215"/>
      <c r="J744" s="214"/>
      <c r="K744" s="192" t="e">
        <f t="shared" si="14"/>
        <v>#DIV/0!</v>
      </c>
    </row>
    <row r="745" spans="1:11" s="21" customFormat="1" ht="12.75" hidden="1">
      <c r="A745" s="16" t="s">
        <v>23</v>
      </c>
      <c r="B745" s="27" t="s">
        <v>161</v>
      </c>
      <c r="C745" s="17" t="s">
        <v>143</v>
      </c>
      <c r="D745" s="17" t="s">
        <v>69</v>
      </c>
      <c r="E745" s="17" t="s">
        <v>24</v>
      </c>
      <c r="F745" s="17"/>
      <c r="G745" s="236"/>
      <c r="H745" s="236"/>
      <c r="I745" s="215"/>
      <c r="J745" s="214"/>
      <c r="K745" s="192" t="e">
        <f t="shared" si="14"/>
        <v>#DIV/0!</v>
      </c>
    </row>
    <row r="746" spans="1:11" s="21" customFormat="1" ht="25.5" hidden="1">
      <c r="A746" s="7" t="s">
        <v>25</v>
      </c>
      <c r="B746" s="4"/>
      <c r="C746" s="4"/>
      <c r="D746" s="4"/>
      <c r="E746" s="4"/>
      <c r="F746" s="4" t="s">
        <v>186</v>
      </c>
      <c r="G746" s="236"/>
      <c r="H746" s="236"/>
      <c r="I746" s="215"/>
      <c r="J746" s="214"/>
      <c r="K746" s="192" t="e">
        <f t="shared" si="14"/>
        <v>#DIV/0!</v>
      </c>
    </row>
    <row r="747" spans="1:11" s="21" customFormat="1" ht="24.75" customHeight="1" hidden="1">
      <c r="A747" s="7" t="s">
        <v>26</v>
      </c>
      <c r="B747" s="4"/>
      <c r="C747" s="4"/>
      <c r="D747" s="4"/>
      <c r="E747" s="4"/>
      <c r="F747" s="4" t="s">
        <v>187</v>
      </c>
      <c r="G747" s="236"/>
      <c r="H747" s="236"/>
      <c r="I747" s="215"/>
      <c r="J747" s="214"/>
      <c r="K747" s="192" t="e">
        <f t="shared" si="14"/>
        <v>#DIV/0!</v>
      </c>
    </row>
    <row r="748" spans="1:11" s="21" customFormat="1" ht="12.75" hidden="1">
      <c r="A748" s="7" t="s">
        <v>27</v>
      </c>
      <c r="B748" s="4"/>
      <c r="C748" s="4"/>
      <c r="D748" s="4"/>
      <c r="E748" s="4"/>
      <c r="F748" s="4" t="s">
        <v>188</v>
      </c>
      <c r="G748" s="236"/>
      <c r="H748" s="236"/>
      <c r="I748" s="215"/>
      <c r="J748" s="214"/>
      <c r="K748" s="192" t="e">
        <f t="shared" si="14"/>
        <v>#DIV/0!</v>
      </c>
    </row>
    <row r="749" spans="1:11" s="28" customFormat="1" ht="13.5" customHeight="1" hidden="1">
      <c r="A749" s="87" t="s">
        <v>28</v>
      </c>
      <c r="B749" s="27" t="s">
        <v>161</v>
      </c>
      <c r="C749" s="27" t="s">
        <v>143</v>
      </c>
      <c r="D749" s="27" t="s">
        <v>69</v>
      </c>
      <c r="E749" s="27" t="s">
        <v>29</v>
      </c>
      <c r="F749" s="27"/>
      <c r="G749" s="249"/>
      <c r="H749" s="249"/>
      <c r="I749" s="202"/>
      <c r="J749" s="201"/>
      <c r="K749" s="192" t="e">
        <f t="shared" si="14"/>
        <v>#DIV/0!</v>
      </c>
    </row>
    <row r="750" spans="1:11" s="28" customFormat="1" ht="12.75" hidden="1">
      <c r="A750" s="87" t="s">
        <v>30</v>
      </c>
      <c r="B750" s="27" t="s">
        <v>161</v>
      </c>
      <c r="C750" s="27" t="s">
        <v>143</v>
      </c>
      <c r="D750" s="27" t="s">
        <v>69</v>
      </c>
      <c r="E750" s="27" t="s">
        <v>31</v>
      </c>
      <c r="F750" s="27"/>
      <c r="G750" s="249"/>
      <c r="H750" s="249"/>
      <c r="I750" s="202"/>
      <c r="J750" s="201"/>
      <c r="K750" s="192" t="e">
        <f t="shared" si="14"/>
        <v>#DIV/0!</v>
      </c>
    </row>
    <row r="751" spans="1:11" s="21" customFormat="1" ht="12.75" hidden="1">
      <c r="A751" s="7" t="s">
        <v>32</v>
      </c>
      <c r="B751" s="17"/>
      <c r="C751" s="17"/>
      <c r="D751" s="17"/>
      <c r="E751" s="17"/>
      <c r="F751" s="17" t="s">
        <v>189</v>
      </c>
      <c r="G751" s="236"/>
      <c r="H751" s="236"/>
      <c r="I751" s="215"/>
      <c r="J751" s="214"/>
      <c r="K751" s="192" t="e">
        <f t="shared" si="14"/>
        <v>#DIV/0!</v>
      </c>
    </row>
    <row r="752" spans="1:11" s="21" customFormat="1" ht="12.75" hidden="1">
      <c r="A752" s="7" t="s">
        <v>33</v>
      </c>
      <c r="B752" s="17"/>
      <c r="C752" s="17"/>
      <c r="D752" s="17"/>
      <c r="E752" s="17"/>
      <c r="F752" s="17" t="s">
        <v>191</v>
      </c>
      <c r="G752" s="236"/>
      <c r="H752" s="236"/>
      <c r="I752" s="215"/>
      <c r="J752" s="214"/>
      <c r="K752" s="192" t="e">
        <f t="shared" si="14"/>
        <v>#DIV/0!</v>
      </c>
    </row>
    <row r="753" spans="1:11" s="21" customFormat="1" ht="25.5" hidden="1">
      <c r="A753" s="7" t="s">
        <v>34</v>
      </c>
      <c r="B753" s="17"/>
      <c r="C753" s="17"/>
      <c r="D753" s="17"/>
      <c r="E753" s="17"/>
      <c r="F753" s="17" t="s">
        <v>221</v>
      </c>
      <c r="G753" s="236"/>
      <c r="H753" s="236"/>
      <c r="I753" s="215"/>
      <c r="J753" s="214"/>
      <c r="K753" s="192" t="e">
        <f t="shared" si="14"/>
        <v>#DIV/0!</v>
      </c>
    </row>
    <row r="754" spans="1:11" s="21" customFormat="1" ht="25.5" hidden="1">
      <c r="A754" s="7" t="s">
        <v>35</v>
      </c>
      <c r="B754" s="17"/>
      <c r="C754" s="17"/>
      <c r="D754" s="17"/>
      <c r="E754" s="17"/>
      <c r="F754" s="17" t="s">
        <v>190</v>
      </c>
      <c r="G754" s="236"/>
      <c r="H754" s="236"/>
      <c r="I754" s="215"/>
      <c r="J754" s="214"/>
      <c r="K754" s="192" t="e">
        <f t="shared" si="14"/>
        <v>#DIV/0!</v>
      </c>
    </row>
    <row r="755" spans="1:11" s="21" customFormat="1" ht="51" hidden="1">
      <c r="A755" s="7" t="s">
        <v>36</v>
      </c>
      <c r="B755" s="17"/>
      <c r="C755" s="17"/>
      <c r="D755" s="17"/>
      <c r="E755" s="17"/>
      <c r="F755" s="17" t="s">
        <v>190</v>
      </c>
      <c r="G755" s="236"/>
      <c r="H755" s="236"/>
      <c r="I755" s="215"/>
      <c r="J755" s="214"/>
      <c r="K755" s="192" t="e">
        <f t="shared" si="14"/>
        <v>#DIV/0!</v>
      </c>
    </row>
    <row r="756" spans="1:11" s="28" customFormat="1" ht="12.75" hidden="1">
      <c r="A756" s="87" t="s">
        <v>37</v>
      </c>
      <c r="B756" s="27" t="s">
        <v>161</v>
      </c>
      <c r="C756" s="27" t="s">
        <v>143</v>
      </c>
      <c r="D756" s="27" t="s">
        <v>69</v>
      </c>
      <c r="E756" s="27" t="s">
        <v>38</v>
      </c>
      <c r="F756" s="17"/>
      <c r="G756" s="249"/>
      <c r="H756" s="249"/>
      <c r="I756" s="202"/>
      <c r="J756" s="201"/>
      <c r="K756" s="192" t="e">
        <f t="shared" si="14"/>
        <v>#DIV/0!</v>
      </c>
    </row>
    <row r="757" spans="1:11" s="21" customFormat="1" ht="38.25" hidden="1">
      <c r="A757" s="11" t="s">
        <v>39</v>
      </c>
      <c r="B757" s="20"/>
      <c r="C757" s="20"/>
      <c r="D757" s="20"/>
      <c r="E757" s="20"/>
      <c r="F757" s="20" t="s">
        <v>183</v>
      </c>
      <c r="G757" s="236"/>
      <c r="H757" s="236"/>
      <c r="I757" s="215"/>
      <c r="J757" s="214"/>
      <c r="K757" s="192" t="e">
        <f t="shared" si="14"/>
        <v>#DIV/0!</v>
      </c>
    </row>
    <row r="758" spans="1:11" s="21" customFormat="1" ht="38.25" hidden="1">
      <c r="A758" s="19" t="s">
        <v>40</v>
      </c>
      <c r="B758" s="20"/>
      <c r="C758" s="20"/>
      <c r="D758" s="20"/>
      <c r="E758" s="20"/>
      <c r="F758" s="20" t="s">
        <v>222</v>
      </c>
      <c r="G758" s="236"/>
      <c r="H758" s="236"/>
      <c r="I758" s="215"/>
      <c r="J758" s="214"/>
      <c r="K758" s="192" t="e">
        <f t="shared" si="14"/>
        <v>#DIV/0!</v>
      </c>
    </row>
    <row r="759" spans="1:11" s="21" customFormat="1" ht="27.75" customHeight="1" hidden="1">
      <c r="A759" s="12" t="s">
        <v>41</v>
      </c>
      <c r="B759" s="20"/>
      <c r="C759" s="20"/>
      <c r="D759" s="20"/>
      <c r="E759" s="20"/>
      <c r="F759" s="20" t="s">
        <v>192</v>
      </c>
      <c r="G759" s="236"/>
      <c r="H759" s="236"/>
      <c r="I759" s="215"/>
      <c r="J759" s="214"/>
      <c r="K759" s="192" t="e">
        <f t="shared" si="14"/>
        <v>#DIV/0!</v>
      </c>
    </row>
    <row r="760" spans="1:11" s="45" customFormat="1" ht="12.75" hidden="1">
      <c r="A760" s="43" t="s">
        <v>42</v>
      </c>
      <c r="B760" s="44" t="s">
        <v>161</v>
      </c>
      <c r="C760" s="44" t="s">
        <v>143</v>
      </c>
      <c r="D760" s="44" t="s">
        <v>69</v>
      </c>
      <c r="E760" s="44" t="s">
        <v>43</v>
      </c>
      <c r="F760" s="44"/>
      <c r="G760" s="239"/>
      <c r="H760" s="239"/>
      <c r="I760" s="198"/>
      <c r="J760" s="197"/>
      <c r="K760" s="192" t="e">
        <f t="shared" si="14"/>
        <v>#DIV/0!</v>
      </c>
    </row>
    <row r="761" spans="1:11" s="28" customFormat="1" ht="12.75" hidden="1">
      <c r="A761" s="87" t="s">
        <v>44</v>
      </c>
      <c r="B761" s="27" t="s">
        <v>161</v>
      </c>
      <c r="C761" s="27" t="s">
        <v>143</v>
      </c>
      <c r="D761" s="27" t="s">
        <v>69</v>
      </c>
      <c r="E761" s="27" t="s">
        <v>45</v>
      </c>
      <c r="F761" s="17"/>
      <c r="G761" s="249"/>
      <c r="H761" s="249"/>
      <c r="I761" s="202"/>
      <c r="J761" s="201"/>
      <c r="K761" s="192" t="e">
        <f t="shared" si="14"/>
        <v>#DIV/0!</v>
      </c>
    </row>
    <row r="762" spans="1:11" s="21" customFormat="1" ht="12.75" hidden="1">
      <c r="A762" s="6" t="s">
        <v>46</v>
      </c>
      <c r="B762" s="20"/>
      <c r="C762" s="20"/>
      <c r="D762" s="20"/>
      <c r="E762" s="20"/>
      <c r="F762" s="20"/>
      <c r="G762" s="236"/>
      <c r="H762" s="236"/>
      <c r="I762" s="215"/>
      <c r="J762" s="214"/>
      <c r="K762" s="192" t="e">
        <f t="shared" si="14"/>
        <v>#DIV/0!</v>
      </c>
    </row>
    <row r="763" spans="1:11" s="45" customFormat="1" ht="12.75" hidden="1">
      <c r="A763" s="43" t="s">
        <v>47</v>
      </c>
      <c r="B763" s="44" t="s">
        <v>161</v>
      </c>
      <c r="C763" s="44" t="s">
        <v>143</v>
      </c>
      <c r="D763" s="44" t="s">
        <v>69</v>
      </c>
      <c r="E763" s="44" t="s">
        <v>48</v>
      </c>
      <c r="F763" s="44"/>
      <c r="G763" s="239"/>
      <c r="H763" s="239"/>
      <c r="I763" s="198"/>
      <c r="J763" s="197"/>
      <c r="K763" s="192" t="e">
        <f t="shared" si="14"/>
        <v>#DIV/0!</v>
      </c>
    </row>
    <row r="764" spans="1:11" s="21" customFormat="1" ht="27" customHeight="1" hidden="1">
      <c r="A764" s="12" t="s">
        <v>41</v>
      </c>
      <c r="B764" s="20"/>
      <c r="C764" s="20"/>
      <c r="D764" s="20"/>
      <c r="E764" s="20"/>
      <c r="F764" s="20"/>
      <c r="G764" s="236"/>
      <c r="H764" s="236"/>
      <c r="I764" s="215"/>
      <c r="J764" s="214"/>
      <c r="K764" s="192" t="e">
        <f t="shared" si="14"/>
        <v>#DIV/0!</v>
      </c>
    </row>
    <row r="765" spans="1:11" s="45" customFormat="1" ht="12.75" hidden="1">
      <c r="A765" s="43" t="s">
        <v>49</v>
      </c>
      <c r="B765" s="44" t="s">
        <v>161</v>
      </c>
      <c r="C765" s="44" t="s">
        <v>143</v>
      </c>
      <c r="D765" s="44" t="s">
        <v>69</v>
      </c>
      <c r="E765" s="44" t="s">
        <v>50</v>
      </c>
      <c r="F765" s="44"/>
      <c r="G765" s="239"/>
      <c r="H765" s="239"/>
      <c r="I765" s="198"/>
      <c r="J765" s="197"/>
      <c r="K765" s="192" t="e">
        <f t="shared" si="14"/>
        <v>#DIV/0!</v>
      </c>
    </row>
    <row r="766" spans="1:11" s="28" customFormat="1" ht="12.75" hidden="1">
      <c r="A766" s="87" t="s">
        <v>51</v>
      </c>
      <c r="B766" s="27" t="s">
        <v>161</v>
      </c>
      <c r="C766" s="27" t="s">
        <v>143</v>
      </c>
      <c r="D766" s="27" t="s">
        <v>69</v>
      </c>
      <c r="E766" s="27" t="s">
        <v>52</v>
      </c>
      <c r="F766" s="17"/>
      <c r="G766" s="249"/>
      <c r="H766" s="249"/>
      <c r="I766" s="202"/>
      <c r="J766" s="201"/>
      <c r="K766" s="192" t="e">
        <f t="shared" si="14"/>
        <v>#DIV/0!</v>
      </c>
    </row>
    <row r="767" spans="1:11" s="21" customFormat="1" ht="12.75" hidden="1">
      <c r="A767" s="7" t="s">
        <v>53</v>
      </c>
      <c r="B767" s="20"/>
      <c r="C767" s="20"/>
      <c r="D767" s="20"/>
      <c r="E767" s="20"/>
      <c r="F767" s="20" t="s">
        <v>223</v>
      </c>
      <c r="G767" s="236"/>
      <c r="H767" s="236"/>
      <c r="I767" s="215"/>
      <c r="J767" s="214"/>
      <c r="K767" s="192" t="e">
        <f t="shared" si="14"/>
        <v>#DIV/0!</v>
      </c>
    </row>
    <row r="768" spans="1:11" s="21" customFormat="1" ht="51" hidden="1">
      <c r="A768" s="7" t="s">
        <v>54</v>
      </c>
      <c r="B768" s="20"/>
      <c r="C768" s="20"/>
      <c r="D768" s="20"/>
      <c r="E768" s="20"/>
      <c r="F768" s="20" t="s">
        <v>194</v>
      </c>
      <c r="G768" s="236"/>
      <c r="H768" s="236"/>
      <c r="I768" s="215"/>
      <c r="J768" s="214"/>
      <c r="K768" s="192" t="e">
        <f t="shared" si="14"/>
        <v>#DIV/0!</v>
      </c>
    </row>
    <row r="769" spans="1:11" s="21" customFormat="1" ht="51" customHeight="1" hidden="1">
      <c r="A769" s="7" t="s">
        <v>55</v>
      </c>
      <c r="B769" s="20"/>
      <c r="C769" s="20"/>
      <c r="D769" s="20"/>
      <c r="E769" s="20"/>
      <c r="F769" s="20" t="s">
        <v>193</v>
      </c>
      <c r="G769" s="236"/>
      <c r="H769" s="236"/>
      <c r="I769" s="215"/>
      <c r="J769" s="214"/>
      <c r="K769" s="192" t="e">
        <f t="shared" si="14"/>
        <v>#DIV/0!</v>
      </c>
    </row>
    <row r="770" spans="1:11" s="28" customFormat="1" ht="12.75" customHeight="1" hidden="1">
      <c r="A770" s="87" t="s">
        <v>56</v>
      </c>
      <c r="B770" s="27" t="s">
        <v>161</v>
      </c>
      <c r="C770" s="27" t="s">
        <v>143</v>
      </c>
      <c r="D770" s="27" t="s">
        <v>69</v>
      </c>
      <c r="E770" s="27" t="s">
        <v>57</v>
      </c>
      <c r="F770" s="17"/>
      <c r="G770" s="249"/>
      <c r="H770" s="249"/>
      <c r="I770" s="202"/>
      <c r="J770" s="201"/>
      <c r="K770" s="192" t="e">
        <f t="shared" si="14"/>
        <v>#DIV/0!</v>
      </c>
    </row>
    <row r="771" spans="1:11" s="21" customFormat="1" ht="25.5" hidden="1">
      <c r="A771" s="7" t="s">
        <v>58</v>
      </c>
      <c r="B771" s="20"/>
      <c r="C771" s="20"/>
      <c r="D771" s="20"/>
      <c r="E771" s="20"/>
      <c r="F771" s="20" t="s">
        <v>195</v>
      </c>
      <c r="G771" s="236"/>
      <c r="H771" s="236"/>
      <c r="I771" s="215"/>
      <c r="J771" s="214"/>
      <c r="K771" s="192" t="e">
        <f t="shared" si="14"/>
        <v>#DIV/0!</v>
      </c>
    </row>
    <row r="772" spans="1:11" s="21" customFormat="1" ht="12.75" hidden="1">
      <c r="A772" s="7" t="s">
        <v>59</v>
      </c>
      <c r="B772" s="20"/>
      <c r="C772" s="20"/>
      <c r="D772" s="20"/>
      <c r="E772" s="20"/>
      <c r="F772" s="20" t="s">
        <v>196</v>
      </c>
      <c r="G772" s="236"/>
      <c r="H772" s="236"/>
      <c r="I772" s="215"/>
      <c r="J772" s="214"/>
      <c r="K772" s="192" t="e">
        <f t="shared" si="14"/>
        <v>#DIV/0!</v>
      </c>
    </row>
    <row r="773" spans="1:11" s="21" customFormat="1" ht="12.75" customHeight="1" hidden="1">
      <c r="A773" s="7" t="s">
        <v>60</v>
      </c>
      <c r="B773" s="20"/>
      <c r="C773" s="20"/>
      <c r="D773" s="20"/>
      <c r="E773" s="20"/>
      <c r="F773" s="20" t="s">
        <v>197</v>
      </c>
      <c r="G773" s="236"/>
      <c r="H773" s="236"/>
      <c r="I773" s="215"/>
      <c r="J773" s="214"/>
      <c r="K773" s="192" t="e">
        <f t="shared" si="14"/>
        <v>#DIV/0!</v>
      </c>
    </row>
    <row r="774" spans="1:11" s="21" customFormat="1" ht="14.25" customHeight="1" hidden="1">
      <c r="A774" s="7" t="s">
        <v>61</v>
      </c>
      <c r="B774" s="20"/>
      <c r="C774" s="20"/>
      <c r="D774" s="20"/>
      <c r="E774" s="20"/>
      <c r="F774" s="20" t="s">
        <v>198</v>
      </c>
      <c r="G774" s="236"/>
      <c r="H774" s="236"/>
      <c r="I774" s="215"/>
      <c r="J774" s="214"/>
      <c r="K774" s="192" t="e">
        <f t="shared" si="14"/>
        <v>#DIV/0!</v>
      </c>
    </row>
    <row r="775" spans="1:11" s="45" customFormat="1" ht="12.75">
      <c r="A775" s="166" t="s">
        <v>272</v>
      </c>
      <c r="B775" s="70" t="s">
        <v>161</v>
      </c>
      <c r="C775" s="70" t="s">
        <v>127</v>
      </c>
      <c r="D775" s="70" t="s">
        <v>2</v>
      </c>
      <c r="E775" s="70"/>
      <c r="F775" s="70"/>
      <c r="G775" s="255">
        <f aca="true" t="shared" si="15" ref="G775:J776">G776</f>
        <v>3291018.89</v>
      </c>
      <c r="H775" s="255">
        <f t="shared" si="15"/>
        <v>2483518.9</v>
      </c>
      <c r="I775" s="255">
        <f t="shared" si="15"/>
        <v>1935541.62</v>
      </c>
      <c r="J775" s="255">
        <f t="shared" si="15"/>
        <v>1482988.01</v>
      </c>
      <c r="K775" s="192">
        <f t="shared" si="14"/>
        <v>76.6187611093581</v>
      </c>
    </row>
    <row r="776" spans="1:11" s="28" customFormat="1" ht="12.75">
      <c r="A776" s="87" t="s">
        <v>37</v>
      </c>
      <c r="B776" s="27" t="s">
        <v>161</v>
      </c>
      <c r="C776" s="27" t="s">
        <v>127</v>
      </c>
      <c r="D776" s="27" t="s">
        <v>79</v>
      </c>
      <c r="E776" s="27" t="s">
        <v>38</v>
      </c>
      <c r="F776" s="50"/>
      <c r="G776" s="247">
        <f t="shared" si="15"/>
        <v>3291018.89</v>
      </c>
      <c r="H776" s="247">
        <f t="shared" si="15"/>
        <v>2483518.9</v>
      </c>
      <c r="I776" s="247">
        <f t="shared" si="15"/>
        <v>1935541.62</v>
      </c>
      <c r="J776" s="247">
        <f t="shared" si="15"/>
        <v>1482988.01</v>
      </c>
      <c r="K776" s="192">
        <f t="shared" si="14"/>
        <v>76.6187611093581</v>
      </c>
    </row>
    <row r="777" spans="1:11" s="21" customFormat="1" ht="25.5" customHeight="1">
      <c r="A777" s="12" t="s">
        <v>354</v>
      </c>
      <c r="B777" s="20"/>
      <c r="C777" s="20"/>
      <c r="D777" s="20"/>
      <c r="E777" s="20"/>
      <c r="F777" s="20" t="s">
        <v>403</v>
      </c>
      <c r="G777" s="236">
        <v>3291018.89</v>
      </c>
      <c r="H777" s="236">
        <f>367000+2116518.9</f>
        <v>2483518.9</v>
      </c>
      <c r="I777" s="215">
        <v>1935541.62</v>
      </c>
      <c r="J777" s="214">
        <f>1451063.89+28824.12+3100</f>
        <v>1482988.01</v>
      </c>
      <c r="K777" s="192">
        <f t="shared" si="14"/>
        <v>76.6187611093581</v>
      </c>
    </row>
    <row r="778" spans="1:11" s="21" customFormat="1" ht="12.75">
      <c r="A778" s="125" t="s">
        <v>241</v>
      </c>
      <c r="B778" s="14" t="s">
        <v>162</v>
      </c>
      <c r="C778" s="14" t="s">
        <v>368</v>
      </c>
      <c r="D778" s="14" t="s">
        <v>69</v>
      </c>
      <c r="E778" s="14"/>
      <c r="F778" s="14"/>
      <c r="G778" s="235">
        <f aca="true" t="shared" si="16" ref="G778:J779">G779</f>
        <v>120000</v>
      </c>
      <c r="H778" s="235">
        <f t="shared" si="16"/>
        <v>60000</v>
      </c>
      <c r="I778" s="235">
        <f t="shared" si="16"/>
        <v>78423.9</v>
      </c>
      <c r="J778" s="235">
        <f t="shared" si="16"/>
        <v>76445.1</v>
      </c>
      <c r="K778" s="192">
        <f t="shared" si="14"/>
        <v>97.47678960112927</v>
      </c>
    </row>
    <row r="779" spans="1:11" s="21" customFormat="1" ht="12.75">
      <c r="A779" s="87" t="s">
        <v>37</v>
      </c>
      <c r="B779" s="14" t="s">
        <v>162</v>
      </c>
      <c r="C779" s="20" t="s">
        <v>368</v>
      </c>
      <c r="D779" s="20" t="s">
        <v>69</v>
      </c>
      <c r="E779" s="20" t="s">
        <v>38</v>
      </c>
      <c r="F779" s="20"/>
      <c r="G779" s="236">
        <f t="shared" si="16"/>
        <v>120000</v>
      </c>
      <c r="H779" s="236">
        <f t="shared" si="16"/>
        <v>60000</v>
      </c>
      <c r="I779" s="236">
        <f t="shared" si="16"/>
        <v>78423.9</v>
      </c>
      <c r="J779" s="236">
        <f t="shared" si="16"/>
        <v>76445.1</v>
      </c>
      <c r="K779" s="192">
        <f aca="true" t="shared" si="17" ref="K779:K808">J779*100/I779</f>
        <v>97.47678960112927</v>
      </c>
    </row>
    <row r="780" spans="1:11" s="21" customFormat="1" ht="25.5">
      <c r="A780" s="12" t="s">
        <v>354</v>
      </c>
      <c r="B780" s="14"/>
      <c r="C780" s="20"/>
      <c r="D780" s="20"/>
      <c r="E780" s="20"/>
      <c r="F780" s="20" t="s">
        <v>403</v>
      </c>
      <c r="G780" s="236">
        <v>120000</v>
      </c>
      <c r="H780" s="236">
        <f>30000+30000</f>
        <v>60000</v>
      </c>
      <c r="I780" s="215">
        <v>78423.9</v>
      </c>
      <c r="J780" s="214">
        <f>21234.75+24066.05+31144.3</f>
        <v>76445.1</v>
      </c>
      <c r="K780" s="192">
        <f t="shared" si="17"/>
        <v>97.47678960112927</v>
      </c>
    </row>
    <row r="781" spans="1:11" s="21" customFormat="1" ht="12.75">
      <c r="A781" s="49" t="s">
        <v>80</v>
      </c>
      <c r="B781" s="48" t="s">
        <v>163</v>
      </c>
      <c r="C781" s="48" t="s">
        <v>128</v>
      </c>
      <c r="D781" s="48" t="s">
        <v>81</v>
      </c>
      <c r="E781" s="48"/>
      <c r="F781" s="48"/>
      <c r="G781" s="238">
        <f aca="true" t="shared" si="18" ref="G781:J782">G782</f>
        <v>775400</v>
      </c>
      <c r="H781" s="238">
        <f t="shared" si="18"/>
        <v>445700</v>
      </c>
      <c r="I781" s="238">
        <f t="shared" si="18"/>
        <v>252720.4</v>
      </c>
      <c r="J781" s="238">
        <f t="shared" si="18"/>
        <v>212477.9</v>
      </c>
      <c r="K781" s="192">
        <f t="shared" si="17"/>
        <v>84.07627559943717</v>
      </c>
    </row>
    <row r="782" spans="1:11" s="21" customFormat="1" ht="12.75">
      <c r="A782" s="87" t="s">
        <v>37</v>
      </c>
      <c r="B782" s="14" t="s">
        <v>163</v>
      </c>
      <c r="C782" s="14" t="s">
        <v>128</v>
      </c>
      <c r="D782" s="14" t="s">
        <v>81</v>
      </c>
      <c r="E782" s="14" t="s">
        <v>38</v>
      </c>
      <c r="F782" s="14"/>
      <c r="G782" s="235">
        <f t="shared" si="18"/>
        <v>775400</v>
      </c>
      <c r="H782" s="235">
        <f t="shared" si="18"/>
        <v>445700</v>
      </c>
      <c r="I782" s="235">
        <f t="shared" si="18"/>
        <v>252720.4</v>
      </c>
      <c r="J782" s="235">
        <f t="shared" si="18"/>
        <v>212477.9</v>
      </c>
      <c r="K782" s="192">
        <f t="shared" si="17"/>
        <v>84.07627559943717</v>
      </c>
    </row>
    <row r="783" spans="1:11" s="21" customFormat="1" ht="25.5">
      <c r="A783" s="12" t="s">
        <v>408</v>
      </c>
      <c r="B783" s="20"/>
      <c r="C783" s="20"/>
      <c r="D783" s="20"/>
      <c r="E783" s="20"/>
      <c r="F783" s="20" t="s">
        <v>403</v>
      </c>
      <c r="G783" s="236">
        <v>775400</v>
      </c>
      <c r="H783" s="236">
        <f>160000+285700</f>
        <v>445700</v>
      </c>
      <c r="I783" s="215">
        <v>252720.4</v>
      </c>
      <c r="J783" s="214">
        <v>212477.9</v>
      </c>
      <c r="K783" s="192">
        <f t="shared" si="17"/>
        <v>84.07627559943717</v>
      </c>
    </row>
    <row r="784" spans="1:11" s="21" customFormat="1" ht="12.75" hidden="1">
      <c r="A784" s="12" t="s">
        <v>132</v>
      </c>
      <c r="B784" s="20"/>
      <c r="C784" s="20"/>
      <c r="D784" s="20"/>
      <c r="E784" s="20"/>
      <c r="F784" s="20"/>
      <c r="G784" s="236"/>
      <c r="H784" s="236"/>
      <c r="I784" s="215"/>
      <c r="J784" s="214"/>
      <c r="K784" s="192" t="e">
        <f t="shared" si="17"/>
        <v>#DIV/0!</v>
      </c>
    </row>
    <row r="785" spans="1:11" s="21" customFormat="1" ht="12.75" hidden="1">
      <c r="A785" s="12" t="s">
        <v>133</v>
      </c>
      <c r="B785" s="20"/>
      <c r="C785" s="20"/>
      <c r="D785" s="20"/>
      <c r="E785" s="20"/>
      <c r="F785" s="20"/>
      <c r="G785" s="236"/>
      <c r="H785" s="236"/>
      <c r="I785" s="215"/>
      <c r="J785" s="214"/>
      <c r="K785" s="192" t="e">
        <f t="shared" si="17"/>
        <v>#DIV/0!</v>
      </c>
    </row>
    <row r="786" spans="1:11" s="21" customFormat="1" ht="12.75" hidden="1">
      <c r="A786" s="12" t="s">
        <v>134</v>
      </c>
      <c r="B786" s="20"/>
      <c r="C786" s="20"/>
      <c r="D786" s="20"/>
      <c r="E786" s="20"/>
      <c r="F786" s="20"/>
      <c r="G786" s="236"/>
      <c r="H786" s="236"/>
      <c r="I786" s="215"/>
      <c r="J786" s="214"/>
      <c r="K786" s="192" t="e">
        <f t="shared" si="17"/>
        <v>#DIV/0!</v>
      </c>
    </row>
    <row r="787" spans="1:11" s="21" customFormat="1" ht="12.75" hidden="1">
      <c r="A787" s="12" t="s">
        <v>139</v>
      </c>
      <c r="B787" s="20"/>
      <c r="C787" s="20"/>
      <c r="D787" s="20"/>
      <c r="E787" s="20"/>
      <c r="F787" s="20"/>
      <c r="G787" s="236"/>
      <c r="H787" s="236"/>
      <c r="I787" s="215"/>
      <c r="J787" s="214"/>
      <c r="K787" s="192" t="e">
        <f t="shared" si="17"/>
        <v>#DIV/0!</v>
      </c>
    </row>
    <row r="788" spans="1:11" s="21" customFormat="1" ht="12.75" hidden="1">
      <c r="A788" s="12" t="s">
        <v>135</v>
      </c>
      <c r="B788" s="20"/>
      <c r="C788" s="20"/>
      <c r="D788" s="20"/>
      <c r="E788" s="20"/>
      <c r="F788" s="20"/>
      <c r="G788" s="236"/>
      <c r="H788" s="236"/>
      <c r="I788" s="215"/>
      <c r="J788" s="214"/>
      <c r="K788" s="192" t="e">
        <f t="shared" si="17"/>
        <v>#DIV/0!</v>
      </c>
    </row>
    <row r="789" spans="1:11" s="21" customFormat="1" ht="12.75">
      <c r="A789" s="12"/>
      <c r="B789" s="20"/>
      <c r="C789" s="20"/>
      <c r="D789" s="20"/>
      <c r="E789" s="20"/>
      <c r="F789" s="20"/>
      <c r="G789" s="236"/>
      <c r="H789" s="236"/>
      <c r="I789" s="215"/>
      <c r="J789" s="214"/>
      <c r="K789" s="192"/>
    </row>
    <row r="790" spans="1:11" s="21" customFormat="1" ht="12.75">
      <c r="A790" s="167" t="s">
        <v>235</v>
      </c>
      <c r="B790" s="48" t="s">
        <v>273</v>
      </c>
      <c r="C790" s="160" t="s">
        <v>88</v>
      </c>
      <c r="D790" s="160" t="s">
        <v>2</v>
      </c>
      <c r="E790" s="160"/>
      <c r="F790" s="160"/>
      <c r="G790" s="238">
        <f>G791</f>
        <v>2474616.7</v>
      </c>
      <c r="H790" s="238">
        <f>H791</f>
        <v>1251808.2</v>
      </c>
      <c r="I790" s="238">
        <f>I791</f>
        <v>953350.53</v>
      </c>
      <c r="J790" s="238">
        <f>J791</f>
        <v>863081.53</v>
      </c>
      <c r="K790" s="192">
        <f t="shared" si="17"/>
        <v>90.53139457529855</v>
      </c>
    </row>
    <row r="791" spans="1:11" s="21" customFormat="1" ht="12.75">
      <c r="A791" s="22" t="s">
        <v>274</v>
      </c>
      <c r="B791" s="14" t="s">
        <v>236</v>
      </c>
      <c r="C791" s="14" t="s">
        <v>88</v>
      </c>
      <c r="D791" s="14" t="s">
        <v>2</v>
      </c>
      <c r="E791" s="14"/>
      <c r="F791" s="14"/>
      <c r="G791" s="235">
        <f>G792+G798+G795</f>
        <v>2474616.7</v>
      </c>
      <c r="H791" s="235">
        <f>H792+H798+H795</f>
        <v>1251808.2</v>
      </c>
      <c r="I791" s="235">
        <f>I792+I798+I795</f>
        <v>953350.53</v>
      </c>
      <c r="J791" s="235">
        <f>J792+J798+J795</f>
        <v>863081.53</v>
      </c>
      <c r="K791" s="192">
        <f t="shared" si="17"/>
        <v>90.53139457529855</v>
      </c>
    </row>
    <row r="792" spans="1:11" s="21" customFormat="1" ht="38.25">
      <c r="A792" s="22" t="s">
        <v>275</v>
      </c>
      <c r="B792" s="14" t="s">
        <v>236</v>
      </c>
      <c r="C792" s="14" t="s">
        <v>430</v>
      </c>
      <c r="D792" s="14" t="s">
        <v>281</v>
      </c>
      <c r="E792" s="14"/>
      <c r="F792" s="14"/>
      <c r="G792" s="235">
        <f aca="true" t="shared" si="19" ref="G792:J793">G793</f>
        <v>1395616.7</v>
      </c>
      <c r="H792" s="235">
        <f t="shared" si="19"/>
        <v>697808.2</v>
      </c>
      <c r="I792" s="235">
        <f t="shared" si="19"/>
        <v>492495</v>
      </c>
      <c r="J792" s="235">
        <f t="shared" si="19"/>
        <v>498660</v>
      </c>
      <c r="K792" s="192">
        <f t="shared" si="17"/>
        <v>101.2517893582676</v>
      </c>
    </row>
    <row r="793" spans="1:11" s="21" customFormat="1" ht="12.75">
      <c r="A793" s="11" t="s">
        <v>278</v>
      </c>
      <c r="B793" s="20" t="s">
        <v>236</v>
      </c>
      <c r="C793" s="14" t="s">
        <v>430</v>
      </c>
      <c r="D793" s="20" t="s">
        <v>281</v>
      </c>
      <c r="E793" s="20" t="s">
        <v>43</v>
      </c>
      <c r="F793" s="20"/>
      <c r="G793" s="236">
        <f t="shared" si="19"/>
        <v>1395616.7</v>
      </c>
      <c r="H793" s="236">
        <f t="shared" si="19"/>
        <v>697808.2</v>
      </c>
      <c r="I793" s="215">
        <f t="shared" si="19"/>
        <v>492495</v>
      </c>
      <c r="J793" s="215">
        <f t="shared" si="19"/>
        <v>498660</v>
      </c>
      <c r="K793" s="192">
        <f t="shared" si="17"/>
        <v>101.2517893582676</v>
      </c>
    </row>
    <row r="794" spans="1:11" s="21" customFormat="1" ht="12.75">
      <c r="A794" s="11" t="s">
        <v>44</v>
      </c>
      <c r="B794" s="20" t="s">
        <v>236</v>
      </c>
      <c r="C794" s="14" t="s">
        <v>431</v>
      </c>
      <c r="D794" s="20" t="s">
        <v>281</v>
      </c>
      <c r="E794" s="20" t="s">
        <v>45</v>
      </c>
      <c r="F794" s="20" t="s">
        <v>414</v>
      </c>
      <c r="G794" s="236">
        <v>1395616.7</v>
      </c>
      <c r="H794" s="236">
        <f>348904+348904.2</f>
        <v>697808.2</v>
      </c>
      <c r="I794" s="215">
        <v>492495</v>
      </c>
      <c r="J794" s="214">
        <v>498660</v>
      </c>
      <c r="K794" s="192">
        <f t="shared" si="17"/>
        <v>101.2517893582676</v>
      </c>
    </row>
    <row r="795" spans="1:11" s="21" customFormat="1" ht="12.75">
      <c r="A795" s="22" t="s">
        <v>237</v>
      </c>
      <c r="B795" s="164" t="s">
        <v>236</v>
      </c>
      <c r="C795" s="164" t="s">
        <v>238</v>
      </c>
      <c r="D795" s="164" t="s">
        <v>239</v>
      </c>
      <c r="E795" s="164"/>
      <c r="F795" s="164"/>
      <c r="G795" s="244">
        <f>G796</f>
        <v>79000</v>
      </c>
      <c r="H795" s="244">
        <f>H796</f>
        <v>79000</v>
      </c>
      <c r="I795" s="244">
        <f>I796</f>
        <v>77355.53</v>
      </c>
      <c r="J795" s="244">
        <f>J796</f>
        <v>86921.53</v>
      </c>
      <c r="K795" s="192">
        <f t="shared" si="17"/>
        <v>112.36627814456187</v>
      </c>
    </row>
    <row r="796" spans="1:11" s="21" customFormat="1" ht="12.75">
      <c r="A796" s="11" t="s">
        <v>42</v>
      </c>
      <c r="B796" s="20" t="s">
        <v>236</v>
      </c>
      <c r="C796" s="20" t="s">
        <v>276</v>
      </c>
      <c r="D796" s="20" t="s">
        <v>239</v>
      </c>
      <c r="E796" s="20" t="s">
        <v>43</v>
      </c>
      <c r="F796" s="20"/>
      <c r="G796" s="236">
        <f>G797</f>
        <v>79000</v>
      </c>
      <c r="H796" s="236">
        <v>79000</v>
      </c>
      <c r="I796" s="215">
        <f>I797</f>
        <v>77355.53</v>
      </c>
      <c r="J796" s="215">
        <f>J797</f>
        <v>86921.53</v>
      </c>
      <c r="K796" s="192">
        <f t="shared" si="17"/>
        <v>112.36627814456187</v>
      </c>
    </row>
    <row r="797" spans="1:11" s="21" customFormat="1" ht="12.75">
      <c r="A797" s="11" t="s">
        <v>44</v>
      </c>
      <c r="B797" s="20" t="s">
        <v>236</v>
      </c>
      <c r="C797" s="20" t="s">
        <v>276</v>
      </c>
      <c r="D797" s="20" t="s">
        <v>239</v>
      </c>
      <c r="E797" s="20" t="s">
        <v>45</v>
      </c>
      <c r="F797" s="20" t="s">
        <v>369</v>
      </c>
      <c r="G797" s="236">
        <v>79000</v>
      </c>
      <c r="H797" s="236">
        <v>79000</v>
      </c>
      <c r="I797" s="215">
        <v>77355.53</v>
      </c>
      <c r="J797" s="214">
        <v>86921.53</v>
      </c>
      <c r="K797" s="192">
        <f t="shared" si="17"/>
        <v>112.36627814456187</v>
      </c>
    </row>
    <row r="798" spans="1:11" s="21" customFormat="1" ht="18" customHeight="1">
      <c r="A798" s="22" t="s">
        <v>279</v>
      </c>
      <c r="B798" s="14" t="s">
        <v>236</v>
      </c>
      <c r="C798" s="14" t="s">
        <v>280</v>
      </c>
      <c r="D798" s="14" t="s">
        <v>281</v>
      </c>
      <c r="E798" s="14"/>
      <c r="F798" s="14"/>
      <c r="G798" s="235">
        <f aca="true" t="shared" si="20" ref="G798:J800">G799</f>
        <v>1000000</v>
      </c>
      <c r="H798" s="235">
        <f t="shared" si="20"/>
        <v>475000</v>
      </c>
      <c r="I798" s="235">
        <f t="shared" si="20"/>
        <v>383500</v>
      </c>
      <c r="J798" s="235">
        <f t="shared" si="20"/>
        <v>277500</v>
      </c>
      <c r="K798" s="192">
        <f t="shared" si="17"/>
        <v>72.35984354628422</v>
      </c>
    </row>
    <row r="799" spans="1:11" s="21" customFormat="1" ht="12.75">
      <c r="A799" s="11" t="s">
        <v>15</v>
      </c>
      <c r="B799" s="20" t="s">
        <v>236</v>
      </c>
      <c r="C799" s="20" t="s">
        <v>280</v>
      </c>
      <c r="D799" s="20" t="s">
        <v>281</v>
      </c>
      <c r="E799" s="20" t="s">
        <v>16</v>
      </c>
      <c r="F799" s="20"/>
      <c r="G799" s="236">
        <f t="shared" si="20"/>
        <v>1000000</v>
      </c>
      <c r="H799" s="236">
        <f t="shared" si="20"/>
        <v>475000</v>
      </c>
      <c r="I799" s="215">
        <f t="shared" si="20"/>
        <v>383500</v>
      </c>
      <c r="J799" s="215">
        <f t="shared" si="20"/>
        <v>277500</v>
      </c>
      <c r="K799" s="192">
        <f t="shared" si="17"/>
        <v>72.35984354628422</v>
      </c>
    </row>
    <row r="800" spans="1:11" s="21" customFormat="1" ht="12.75">
      <c r="A800" s="11" t="s">
        <v>37</v>
      </c>
      <c r="B800" s="20" t="s">
        <v>236</v>
      </c>
      <c r="C800" s="20" t="s">
        <v>280</v>
      </c>
      <c r="D800" s="20" t="s">
        <v>281</v>
      </c>
      <c r="E800" s="20" t="s">
        <v>38</v>
      </c>
      <c r="F800" s="20"/>
      <c r="G800" s="236">
        <f t="shared" si="20"/>
        <v>1000000</v>
      </c>
      <c r="H800" s="236">
        <f t="shared" si="20"/>
        <v>475000</v>
      </c>
      <c r="I800" s="215">
        <f t="shared" si="20"/>
        <v>383500</v>
      </c>
      <c r="J800" s="215">
        <f t="shared" si="20"/>
        <v>277500</v>
      </c>
      <c r="K800" s="192">
        <f t="shared" si="17"/>
        <v>72.35984354628422</v>
      </c>
    </row>
    <row r="801" spans="1:11" s="21" customFormat="1" ht="25.5">
      <c r="A801" s="168" t="s">
        <v>354</v>
      </c>
      <c r="B801" s="17"/>
      <c r="C801" s="17"/>
      <c r="D801" s="17"/>
      <c r="E801" s="17"/>
      <c r="F801" s="20" t="s">
        <v>382</v>
      </c>
      <c r="G801" s="240">
        <v>1000000</v>
      </c>
      <c r="H801" s="240">
        <f>H802</f>
        <v>475000</v>
      </c>
      <c r="I801" s="213">
        <v>383500</v>
      </c>
      <c r="J801" s="186">
        <v>277500</v>
      </c>
      <c r="K801" s="192">
        <f t="shared" si="17"/>
        <v>72.35984354628422</v>
      </c>
    </row>
    <row r="802" spans="1:11" s="21" customFormat="1" ht="12.75">
      <c r="A802" s="11" t="s">
        <v>283</v>
      </c>
      <c r="B802" s="20"/>
      <c r="C802" s="20"/>
      <c r="D802" s="20"/>
      <c r="E802" s="20"/>
      <c r="F802" s="20"/>
      <c r="G802" s="236">
        <f>G803</f>
        <v>1000000</v>
      </c>
      <c r="H802" s="236">
        <v>475000</v>
      </c>
      <c r="I802" s="215">
        <f>I803</f>
        <v>383500</v>
      </c>
      <c r="J802" s="215">
        <f>J803</f>
        <v>0</v>
      </c>
      <c r="K802" s="192">
        <f t="shared" si="17"/>
        <v>0</v>
      </c>
    </row>
    <row r="803" spans="1:11" s="21" customFormat="1" ht="24.75" customHeight="1">
      <c r="A803" s="11" t="s">
        <v>282</v>
      </c>
      <c r="B803" s="20"/>
      <c r="C803" s="20"/>
      <c r="D803" s="20"/>
      <c r="E803" s="20"/>
      <c r="F803" s="20"/>
      <c r="G803" s="236">
        <v>1000000</v>
      </c>
      <c r="H803" s="236">
        <f>235000+240000</f>
        <v>475000</v>
      </c>
      <c r="I803" s="215">
        <v>383500</v>
      </c>
      <c r="J803" s="214"/>
      <c r="K803" s="192">
        <f t="shared" si="17"/>
        <v>0</v>
      </c>
    </row>
    <row r="804" spans="1:11" s="21" customFormat="1" ht="12.75">
      <c r="A804" s="125" t="s">
        <v>290</v>
      </c>
      <c r="B804" s="14" t="s">
        <v>240</v>
      </c>
      <c r="C804" s="14" t="s">
        <v>88</v>
      </c>
      <c r="D804" s="14" t="s">
        <v>2</v>
      </c>
      <c r="E804" s="20"/>
      <c r="F804" s="20"/>
      <c r="G804" s="235">
        <f aca="true" t="shared" si="21" ref="G804:J806">G805</f>
        <v>8275900</v>
      </c>
      <c r="H804" s="235">
        <f t="shared" si="21"/>
        <v>4137950</v>
      </c>
      <c r="I804" s="196">
        <f aca="true" t="shared" si="22" ref="I804:J806">I805</f>
        <v>4137949.98</v>
      </c>
      <c r="J804" s="196">
        <f t="shared" si="22"/>
        <v>4137949.98</v>
      </c>
      <c r="K804" s="192">
        <f t="shared" si="17"/>
        <v>100</v>
      </c>
    </row>
    <row r="805" spans="1:11" s="21" customFormat="1" ht="25.5">
      <c r="A805" s="125" t="s">
        <v>291</v>
      </c>
      <c r="B805" s="14" t="s">
        <v>292</v>
      </c>
      <c r="C805" s="14" t="s">
        <v>88</v>
      </c>
      <c r="D805" s="14" t="s">
        <v>2</v>
      </c>
      <c r="E805" s="20"/>
      <c r="F805" s="20"/>
      <c r="G805" s="235">
        <f t="shared" si="21"/>
        <v>8275900</v>
      </c>
      <c r="H805" s="235">
        <f t="shared" si="21"/>
        <v>4137950</v>
      </c>
      <c r="I805" s="235">
        <f t="shared" si="21"/>
        <v>4137949.98</v>
      </c>
      <c r="J805" s="235">
        <f t="shared" si="21"/>
        <v>4137949.98</v>
      </c>
      <c r="K805" s="192">
        <f t="shared" si="17"/>
        <v>100</v>
      </c>
    </row>
    <row r="806" spans="1:11" s="21" customFormat="1" ht="12.75">
      <c r="A806" s="6" t="s">
        <v>293</v>
      </c>
      <c r="B806" s="20" t="s">
        <v>292</v>
      </c>
      <c r="C806" s="20" t="s">
        <v>294</v>
      </c>
      <c r="D806" s="20" t="s">
        <v>2</v>
      </c>
      <c r="E806" s="20"/>
      <c r="F806" s="20"/>
      <c r="G806" s="236">
        <f t="shared" si="21"/>
        <v>8275900</v>
      </c>
      <c r="H806" s="236">
        <f t="shared" si="21"/>
        <v>4137950</v>
      </c>
      <c r="I806" s="215">
        <f t="shared" si="22"/>
        <v>4137949.98</v>
      </c>
      <c r="J806" s="215">
        <f t="shared" si="22"/>
        <v>4137949.98</v>
      </c>
      <c r="K806" s="192">
        <f t="shared" si="17"/>
        <v>100</v>
      </c>
    </row>
    <row r="807" spans="1:11" s="21" customFormat="1" ht="38.25">
      <c r="A807" s="6" t="s">
        <v>296</v>
      </c>
      <c r="B807" s="20" t="s">
        <v>292</v>
      </c>
      <c r="C807" s="20" t="s">
        <v>294</v>
      </c>
      <c r="D807" s="20" t="s">
        <v>295</v>
      </c>
      <c r="E807" s="20" t="s">
        <v>404</v>
      </c>
      <c r="F807" s="20" t="s">
        <v>369</v>
      </c>
      <c r="G807" s="236">
        <v>8275900</v>
      </c>
      <c r="H807" s="236">
        <f>2068975+2068975</f>
        <v>4137950</v>
      </c>
      <c r="I807" s="215">
        <v>4137949.98</v>
      </c>
      <c r="J807" s="214">
        <v>4137949.98</v>
      </c>
      <c r="K807" s="192">
        <f t="shared" si="17"/>
        <v>100</v>
      </c>
    </row>
    <row r="808" spans="1:11" s="45" customFormat="1" ht="15.75">
      <c r="A808" s="170" t="s">
        <v>230</v>
      </c>
      <c r="B808" s="171"/>
      <c r="C808" s="171"/>
      <c r="D808" s="171"/>
      <c r="E808" s="171"/>
      <c r="F808" s="171"/>
      <c r="G808" s="256">
        <f>G790+G781+G688+G352+G335+G10+G804+G328+G319</f>
        <v>61748226.95</v>
      </c>
      <c r="H808" s="256">
        <f>H790+H781+H688+H352+H335+H10+H804+H328+H319</f>
        <v>36892913.66</v>
      </c>
      <c r="I808" s="256">
        <f>I790+I781+I688+I352+I335+I10+I804+I328+I319</f>
        <v>24469919.290000003</v>
      </c>
      <c r="J808" s="256">
        <f>J790+J781+J688+J352+J335+J10+J804+J328+J319</f>
        <v>22977026.730000004</v>
      </c>
      <c r="K808" s="192">
        <f t="shared" si="17"/>
        <v>93.89907035529092</v>
      </c>
    </row>
    <row r="809" spans="1:11" s="45" customFormat="1" ht="15.75">
      <c r="A809" s="177"/>
      <c r="B809" s="178"/>
      <c r="C809" s="178"/>
      <c r="D809" s="178"/>
      <c r="E809" s="178"/>
      <c r="F809" s="178"/>
      <c r="G809" s="257"/>
      <c r="H809" s="257"/>
      <c r="I809" s="256"/>
      <c r="J809" s="268"/>
      <c r="K809" s="231"/>
    </row>
    <row r="810" spans="1:11" s="45" customFormat="1" ht="15.75">
      <c r="A810" s="179"/>
      <c r="B810" s="180"/>
      <c r="C810" s="180"/>
      <c r="D810" s="180"/>
      <c r="E810" s="180"/>
      <c r="F810" s="180"/>
      <c r="G810" s="266"/>
      <c r="H810" s="266"/>
      <c r="I810" s="265"/>
      <c r="J810" s="181"/>
      <c r="K810" s="181"/>
    </row>
    <row r="811" spans="1:11" s="45" customFormat="1" ht="17.25" customHeight="1">
      <c r="A811" s="179" t="s">
        <v>333</v>
      </c>
      <c r="B811" s="180"/>
      <c r="C811" s="180"/>
      <c r="D811" s="180"/>
      <c r="E811" s="180"/>
      <c r="F811" s="180"/>
      <c r="G811" s="181"/>
      <c r="H811" s="181"/>
      <c r="I811" s="191"/>
      <c r="J811" s="181"/>
      <c r="K811" s="181"/>
    </row>
    <row r="812" spans="1:11" s="45" customFormat="1" ht="17.25" customHeight="1">
      <c r="A812" s="179" t="s">
        <v>334</v>
      </c>
      <c r="B812" s="180"/>
      <c r="C812" s="180"/>
      <c r="D812" s="180"/>
      <c r="E812" s="180"/>
      <c r="F812" s="180"/>
      <c r="G812" s="181"/>
      <c r="H812" s="181"/>
      <c r="I812" s="191" t="s">
        <v>335</v>
      </c>
      <c r="J812" s="181"/>
      <c r="K812" s="181"/>
    </row>
    <row r="813" spans="1:11" s="45" customFormat="1" ht="17.25" customHeight="1">
      <c r="A813" s="179"/>
      <c r="B813" s="180"/>
      <c r="C813" s="180"/>
      <c r="D813" s="180"/>
      <c r="E813" s="180"/>
      <c r="F813" s="180"/>
      <c r="G813" s="181"/>
      <c r="H813" s="181"/>
      <c r="I813" s="191"/>
      <c r="J813" s="181"/>
      <c r="K813" s="181"/>
    </row>
    <row r="814" spans="1:11" s="45" customFormat="1" ht="17.25" customHeight="1">
      <c r="A814" s="179"/>
      <c r="B814" s="180"/>
      <c r="C814" s="180"/>
      <c r="D814" s="180"/>
      <c r="E814" s="180"/>
      <c r="F814" s="180"/>
      <c r="G814" s="181"/>
      <c r="H814" s="181"/>
      <c r="I814" s="191"/>
      <c r="J814" s="181"/>
      <c r="K814" s="181"/>
    </row>
    <row r="815" spans="1:11" s="45" customFormat="1" ht="15.75">
      <c r="A815" s="179"/>
      <c r="B815" s="180"/>
      <c r="C815" s="180"/>
      <c r="D815" s="180"/>
      <c r="E815" s="180"/>
      <c r="F815" s="180"/>
      <c r="G815" s="181"/>
      <c r="H815" s="181"/>
      <c r="I815" s="191"/>
      <c r="J815" s="181"/>
      <c r="K815" s="181"/>
    </row>
    <row r="816" spans="1:11" s="45" customFormat="1" ht="15.75">
      <c r="A816" s="179" t="s">
        <v>336</v>
      </c>
      <c r="B816" s="180"/>
      <c r="C816" s="180"/>
      <c r="D816" s="180"/>
      <c r="E816" s="180"/>
      <c r="F816" s="180"/>
      <c r="G816" s="181"/>
      <c r="H816" s="181"/>
      <c r="I816" s="191" t="s">
        <v>337</v>
      </c>
      <c r="J816" s="181"/>
      <c r="K816" s="181"/>
    </row>
    <row r="817" spans="1:11" s="45" customFormat="1" ht="15.75">
      <c r="A817" s="179"/>
      <c r="B817" s="180"/>
      <c r="C817" s="180"/>
      <c r="D817" s="180"/>
      <c r="E817" s="180"/>
      <c r="F817" s="180"/>
      <c r="G817" s="181"/>
      <c r="H817" s="181"/>
      <c r="I817" s="191"/>
      <c r="J817" s="181"/>
      <c r="K817" s="181"/>
    </row>
    <row r="818" spans="1:11" s="45" customFormat="1" ht="15.75">
      <c r="A818" s="183"/>
      <c r="B818" s="180"/>
      <c r="C818" s="180"/>
      <c r="D818" s="180"/>
      <c r="E818" s="180"/>
      <c r="F818" s="180"/>
      <c r="G818" s="181"/>
      <c r="H818" s="181"/>
      <c r="I818" s="191"/>
      <c r="J818" s="181"/>
      <c r="K818" s="181"/>
    </row>
    <row r="819" spans="1:11" s="45" customFormat="1" ht="15.75">
      <c r="A819" s="179"/>
      <c r="B819" s="180"/>
      <c r="C819" s="180"/>
      <c r="D819" s="180"/>
      <c r="E819" s="180"/>
      <c r="F819" s="180"/>
      <c r="G819" s="181"/>
      <c r="H819" s="181"/>
      <c r="I819" s="191"/>
      <c r="J819" s="181"/>
      <c r="K819" s="181"/>
    </row>
    <row r="820" spans="1:11" s="45" customFormat="1" ht="15.75">
      <c r="A820" s="184"/>
      <c r="B820" s="180"/>
      <c r="C820" s="180"/>
      <c r="D820" s="180"/>
      <c r="E820" s="180"/>
      <c r="F820" s="180"/>
      <c r="G820" s="181"/>
      <c r="H820" s="181"/>
      <c r="I820" s="191"/>
      <c r="J820" s="181"/>
      <c r="K820" s="181"/>
    </row>
    <row r="821" spans="1:11" ht="12.75">
      <c r="A821" s="184"/>
      <c r="B821" s="182"/>
      <c r="C821" s="182"/>
      <c r="D821" s="182"/>
      <c r="E821" s="182"/>
      <c r="F821" s="182"/>
      <c r="G821" s="31"/>
      <c r="H821" s="31"/>
      <c r="J821" s="31"/>
      <c r="K821" s="31"/>
    </row>
  </sheetData>
  <mergeCells count="8">
    <mergeCell ref="A6:K6"/>
    <mergeCell ref="G3:K3"/>
    <mergeCell ref="K8:K9"/>
    <mergeCell ref="G8:G9"/>
    <mergeCell ref="A8:F8"/>
    <mergeCell ref="H8:H9"/>
    <mergeCell ref="I8:I9"/>
    <mergeCell ref="J8:J9"/>
  </mergeCells>
  <printOptions horizontalCentered="1"/>
  <pageMargins left="0.3937007874015748" right="0.24" top="0.47" bottom="0.49" header="0.17" footer="0.1968503937007874"/>
  <pageSetup horizontalDpi="600" verticalDpi="600" orientation="portrait" paperSize="9" scale="5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21"/>
  <sheetViews>
    <sheetView tabSelected="1" zoomScale="99" zoomScaleNormal="99" zoomScaleSheetLayoutView="99" workbookViewId="0" topLeftCell="A1">
      <selection activeCell="I330" sqref="I330"/>
    </sheetView>
  </sheetViews>
  <sheetFormatPr defaultColWidth="9.00390625" defaultRowHeight="12.75"/>
  <cols>
    <col min="1" max="1" width="45.375" style="13" customWidth="1"/>
    <col min="2" max="2" width="6.125" style="3" customWidth="1"/>
    <col min="3" max="3" width="9.00390625" style="3" customWidth="1"/>
    <col min="4" max="5" width="4.75390625" style="3" customWidth="1"/>
    <col min="6" max="6" width="10.00390625" style="3" customWidth="1"/>
    <col min="7" max="7" width="20.125" style="0" customWidth="1"/>
    <col min="8" max="8" width="19.00390625" style="0" customWidth="1"/>
    <col min="9" max="9" width="19.375" style="189" customWidth="1"/>
    <col min="10" max="10" width="19.75390625" style="0" customWidth="1"/>
  </cols>
  <sheetData>
    <row r="1" spans="7:10" ht="12.75">
      <c r="G1" s="18"/>
      <c r="H1" s="18"/>
      <c r="J1" s="18"/>
    </row>
    <row r="2" spans="1:10" ht="12.75">
      <c r="A2" s="169"/>
      <c r="B2" s="169"/>
      <c r="C2" s="169"/>
      <c r="D2" s="169"/>
      <c r="E2" s="169"/>
      <c r="F2" s="169"/>
      <c r="G2" s="169"/>
      <c r="H2" s="169"/>
      <c r="J2" s="18"/>
    </row>
    <row r="3" spans="1:10" ht="18">
      <c r="A3" s="94"/>
      <c r="B3" s="94"/>
      <c r="C3" s="94"/>
      <c r="D3" s="94"/>
      <c r="E3" s="95"/>
      <c r="F3" s="21"/>
      <c r="G3" s="291" t="s">
        <v>453</v>
      </c>
      <c r="H3" s="291"/>
      <c r="I3" s="291"/>
      <c r="J3" s="291"/>
    </row>
    <row r="4" spans="1:9" ht="15.75">
      <c r="A4" s="267"/>
      <c r="B4" s="267"/>
      <c r="C4" s="267"/>
      <c r="D4" s="267"/>
      <c r="E4" s="267"/>
      <c r="F4" s="267"/>
      <c r="G4" s="267"/>
      <c r="H4" s="267"/>
      <c r="I4" s="190"/>
    </row>
    <row r="5" spans="1:9" ht="15.75">
      <c r="A5" s="146"/>
      <c r="B5" s="146"/>
      <c r="C5" s="146"/>
      <c r="D5" s="146"/>
      <c r="E5" s="147"/>
      <c r="F5" s="148"/>
      <c r="G5" s="148"/>
      <c r="H5" s="148"/>
      <c r="I5" s="190"/>
    </row>
    <row r="6" spans="1:10" ht="15.75">
      <c r="A6" s="290" t="s">
        <v>455</v>
      </c>
      <c r="B6" s="290"/>
      <c r="C6" s="290"/>
      <c r="D6" s="290"/>
      <c r="E6" s="290"/>
      <c r="F6" s="290"/>
      <c r="G6" s="290"/>
      <c r="H6" s="290"/>
      <c r="I6" s="290"/>
      <c r="J6" s="290"/>
    </row>
    <row r="7" spans="1:9" ht="15.75">
      <c r="A7" s="146"/>
      <c r="B7" s="146"/>
      <c r="C7" s="146"/>
      <c r="D7" s="146"/>
      <c r="E7" s="147"/>
      <c r="F7" s="148"/>
      <c r="G7" s="148"/>
      <c r="H7" s="148"/>
      <c r="I7" s="190"/>
    </row>
    <row r="8" spans="1:10" ht="12.75" customHeight="1">
      <c r="A8" s="280" t="s">
        <v>0</v>
      </c>
      <c r="B8" s="281"/>
      <c r="C8" s="281"/>
      <c r="D8" s="281"/>
      <c r="E8" s="281"/>
      <c r="F8" s="282"/>
      <c r="G8" s="276" t="s">
        <v>433</v>
      </c>
      <c r="H8" s="276" t="s">
        <v>434</v>
      </c>
      <c r="I8" s="288" t="s">
        <v>436</v>
      </c>
      <c r="J8" s="276" t="s">
        <v>454</v>
      </c>
    </row>
    <row r="9" spans="1:10" ht="24.75" customHeight="1">
      <c r="A9" s="1" t="s">
        <v>1</v>
      </c>
      <c r="B9" s="2" t="s">
        <v>164</v>
      </c>
      <c r="C9" s="2" t="s">
        <v>165</v>
      </c>
      <c r="D9" s="2" t="s">
        <v>166</v>
      </c>
      <c r="E9" s="2" t="s">
        <v>167</v>
      </c>
      <c r="F9" s="2" t="s">
        <v>168</v>
      </c>
      <c r="G9" s="277"/>
      <c r="H9" s="292"/>
      <c r="I9" s="289"/>
      <c r="J9" s="277"/>
    </row>
    <row r="10" spans="1:10" ht="12.75">
      <c r="A10" s="47" t="s">
        <v>3</v>
      </c>
      <c r="B10" s="48" t="s">
        <v>144</v>
      </c>
      <c r="C10" s="48" t="s">
        <v>82</v>
      </c>
      <c r="D10" s="48" t="s">
        <v>2</v>
      </c>
      <c r="E10" s="48"/>
      <c r="F10" s="48"/>
      <c r="G10" s="192">
        <f>G11+G201+G267</f>
        <v>34306037.9</v>
      </c>
      <c r="H10" s="192">
        <f>H11+H201+H267</f>
        <v>22434516</v>
      </c>
      <c r="I10" s="192">
        <f>I11+I201+I267</f>
        <v>13945616.230000002</v>
      </c>
      <c r="J10" s="192">
        <f>J11+J201+J267</f>
        <v>8485091.97</v>
      </c>
    </row>
    <row r="11" spans="1:10" ht="25.5">
      <c r="A11" s="112" t="s">
        <v>231</v>
      </c>
      <c r="B11" s="113" t="s">
        <v>145</v>
      </c>
      <c r="C11" s="113" t="s">
        <v>232</v>
      </c>
      <c r="D11" s="113" t="s">
        <v>2</v>
      </c>
      <c r="E11" s="113"/>
      <c r="F11" s="113"/>
      <c r="G11" s="192">
        <f aca="true" t="shared" si="0" ref="G11:J12">G12</f>
        <v>737130</v>
      </c>
      <c r="H11" s="192">
        <f t="shared" si="0"/>
        <v>363090</v>
      </c>
      <c r="I11" s="192">
        <f t="shared" si="0"/>
        <v>144781.32</v>
      </c>
      <c r="J11" s="192">
        <f t="shared" si="0"/>
        <v>218308.68</v>
      </c>
    </row>
    <row r="12" spans="1:10" ht="25.5">
      <c r="A12" s="8" t="s">
        <v>171</v>
      </c>
      <c r="B12" s="4" t="s">
        <v>145</v>
      </c>
      <c r="C12" s="4" t="s">
        <v>232</v>
      </c>
      <c r="D12" s="4" t="s">
        <v>2</v>
      </c>
      <c r="E12" s="4"/>
      <c r="F12" s="4"/>
      <c r="G12" s="194">
        <f t="shared" si="0"/>
        <v>737130</v>
      </c>
      <c r="H12" s="194">
        <f t="shared" si="0"/>
        <v>363090</v>
      </c>
      <c r="I12" s="194">
        <f t="shared" si="0"/>
        <v>144781.32</v>
      </c>
      <c r="J12" s="194">
        <f t="shared" si="0"/>
        <v>218308.68</v>
      </c>
    </row>
    <row r="13" spans="1:10" ht="12.75">
      <c r="A13" s="10" t="s">
        <v>174</v>
      </c>
      <c r="B13" s="14" t="s">
        <v>145</v>
      </c>
      <c r="C13" s="14" t="s">
        <v>232</v>
      </c>
      <c r="D13" s="14" t="s">
        <v>175</v>
      </c>
      <c r="E13" s="14" t="s">
        <v>2</v>
      </c>
      <c r="F13" s="14"/>
      <c r="G13" s="195">
        <f>G14+G166+G191+G189</f>
        <v>737130</v>
      </c>
      <c r="H13" s="195">
        <f>H14+H166+H191+H189</f>
        <v>363090</v>
      </c>
      <c r="I13" s="195">
        <f>I14+I166+I191+I189</f>
        <v>144781.32</v>
      </c>
      <c r="J13" s="195">
        <f>J14+J166+J191+J189</f>
        <v>218308.68</v>
      </c>
    </row>
    <row r="14" spans="1:10" ht="12.75">
      <c r="A14" s="10" t="s">
        <v>4</v>
      </c>
      <c r="B14" s="14" t="s">
        <v>145</v>
      </c>
      <c r="C14" s="14" t="s">
        <v>232</v>
      </c>
      <c r="D14" s="14" t="s">
        <v>175</v>
      </c>
      <c r="E14" s="14" t="s">
        <v>5</v>
      </c>
      <c r="F14" s="14"/>
      <c r="G14" s="197">
        <f>G15+G16+G165</f>
        <v>51630</v>
      </c>
      <c r="H14" s="197">
        <f>H15+H16+H165</f>
        <v>47210</v>
      </c>
      <c r="I14" s="197">
        <f>I15+I16+I165</f>
        <v>1360</v>
      </c>
      <c r="J14" s="197">
        <f>J15+J16+J165</f>
        <v>45850</v>
      </c>
    </row>
    <row r="15" spans="1:10" ht="12.75">
      <c r="A15" s="19" t="s">
        <v>6</v>
      </c>
      <c r="B15" s="20" t="s">
        <v>145</v>
      </c>
      <c r="C15" s="20" t="s">
        <v>232</v>
      </c>
      <c r="D15" s="20" t="s">
        <v>175</v>
      </c>
      <c r="E15" s="20" t="s">
        <v>7</v>
      </c>
      <c r="F15" s="20" t="s">
        <v>369</v>
      </c>
      <c r="G15" s="200"/>
      <c r="H15" s="200"/>
      <c r="I15" s="199"/>
      <c r="J15" s="192">
        <f aca="true" t="shared" si="1" ref="J15:J74">H15-I15</f>
        <v>0</v>
      </c>
    </row>
    <row r="16" spans="1:10" ht="12.75">
      <c r="A16" s="8" t="s">
        <v>233</v>
      </c>
      <c r="B16" s="20" t="s">
        <v>145</v>
      </c>
      <c r="C16" s="20" t="s">
        <v>232</v>
      </c>
      <c r="D16" s="20" t="s">
        <v>175</v>
      </c>
      <c r="E16" s="4" t="s">
        <v>9</v>
      </c>
      <c r="F16" s="4"/>
      <c r="G16" s="201">
        <f>G162+G163+G164</f>
        <v>51630</v>
      </c>
      <c r="H16" s="201">
        <f>H162+H163+H164</f>
        <v>47210</v>
      </c>
      <c r="I16" s="201">
        <f>I162+I163+I164</f>
        <v>1360</v>
      </c>
      <c r="J16" s="201">
        <f>J162+J163+J164</f>
        <v>45850</v>
      </c>
    </row>
    <row r="17" spans="1:10" s="78" customFormat="1" ht="38.25" customHeight="1" hidden="1">
      <c r="A17" s="47" t="s">
        <v>169</v>
      </c>
      <c r="B17" s="48" t="s">
        <v>170</v>
      </c>
      <c r="C17" s="48" t="s">
        <v>88</v>
      </c>
      <c r="D17" s="48" t="s">
        <v>2</v>
      </c>
      <c r="E17" s="48" t="s">
        <v>2</v>
      </c>
      <c r="F17" s="48"/>
      <c r="G17" s="203"/>
      <c r="H17" s="203"/>
      <c r="I17" s="199"/>
      <c r="J17" s="192">
        <f t="shared" si="1"/>
        <v>0</v>
      </c>
    </row>
    <row r="18" spans="1:10" s="78" customFormat="1" ht="25.5" customHeight="1" hidden="1">
      <c r="A18" s="79" t="s">
        <v>171</v>
      </c>
      <c r="B18" s="80" t="s">
        <v>170</v>
      </c>
      <c r="C18" s="80" t="s">
        <v>82</v>
      </c>
      <c r="D18" s="80" t="s">
        <v>2</v>
      </c>
      <c r="E18" s="80" t="s">
        <v>2</v>
      </c>
      <c r="F18" s="48"/>
      <c r="G18" s="203"/>
      <c r="H18" s="203"/>
      <c r="I18" s="199"/>
      <c r="J18" s="192">
        <f t="shared" si="1"/>
        <v>0</v>
      </c>
    </row>
    <row r="19" spans="1:10" s="83" customFormat="1" ht="25.5" customHeight="1" hidden="1">
      <c r="A19" s="81" t="s">
        <v>172</v>
      </c>
      <c r="B19" s="82" t="s">
        <v>170</v>
      </c>
      <c r="C19" s="82" t="s">
        <v>82</v>
      </c>
      <c r="D19" s="82" t="s">
        <v>173</v>
      </c>
      <c r="E19" s="82" t="s">
        <v>2</v>
      </c>
      <c r="F19" s="82"/>
      <c r="G19" s="206"/>
      <c r="H19" s="206"/>
      <c r="I19" s="205"/>
      <c r="J19" s="192">
        <f t="shared" si="1"/>
        <v>0</v>
      </c>
    </row>
    <row r="20" spans="1:10" s="72" customFormat="1" ht="12.75" customHeight="1" hidden="1">
      <c r="A20" s="43" t="s">
        <v>4</v>
      </c>
      <c r="B20" s="44"/>
      <c r="C20" s="44"/>
      <c r="D20" s="44"/>
      <c r="E20" s="44" t="s">
        <v>5</v>
      </c>
      <c r="F20" s="44"/>
      <c r="G20" s="207"/>
      <c r="H20" s="207"/>
      <c r="I20" s="198"/>
      <c r="J20" s="192">
        <f t="shared" si="1"/>
        <v>0</v>
      </c>
    </row>
    <row r="21" spans="1:10" s="92" customFormat="1" ht="12.75" customHeight="1" hidden="1">
      <c r="A21" s="87" t="s">
        <v>6</v>
      </c>
      <c r="B21" s="27"/>
      <c r="C21" s="27"/>
      <c r="D21" s="27"/>
      <c r="E21" s="27" t="s">
        <v>7</v>
      </c>
      <c r="F21" s="27"/>
      <c r="G21" s="209"/>
      <c r="H21" s="209"/>
      <c r="I21" s="202"/>
      <c r="J21" s="192">
        <f t="shared" si="1"/>
        <v>0</v>
      </c>
    </row>
    <row r="22" spans="1:10" s="92" customFormat="1" ht="12.75" customHeight="1" hidden="1">
      <c r="A22" s="87" t="s">
        <v>13</v>
      </c>
      <c r="B22" s="27"/>
      <c r="C22" s="27"/>
      <c r="D22" s="27"/>
      <c r="E22" s="27" t="s">
        <v>14</v>
      </c>
      <c r="F22" s="27"/>
      <c r="G22" s="209"/>
      <c r="H22" s="209"/>
      <c r="I22" s="202"/>
      <c r="J22" s="192">
        <f t="shared" si="1"/>
        <v>0</v>
      </c>
    </row>
    <row r="23" spans="1:10" s="31" customFormat="1" ht="12.75" customHeight="1" hidden="1">
      <c r="A23" s="47" t="s">
        <v>174</v>
      </c>
      <c r="B23" s="48" t="s">
        <v>170</v>
      </c>
      <c r="C23" s="48" t="s">
        <v>82</v>
      </c>
      <c r="D23" s="48" t="s">
        <v>175</v>
      </c>
      <c r="E23" s="48" t="s">
        <v>2</v>
      </c>
      <c r="F23" s="48"/>
      <c r="G23" s="210"/>
      <c r="H23" s="210"/>
      <c r="I23" s="199"/>
      <c r="J23" s="192">
        <f t="shared" si="1"/>
        <v>0</v>
      </c>
    </row>
    <row r="24" spans="1:10" s="31" customFormat="1" ht="15" customHeight="1" hidden="1">
      <c r="A24" s="10" t="s">
        <v>4</v>
      </c>
      <c r="B24" s="25" t="s">
        <v>170</v>
      </c>
      <c r="C24" s="25" t="s">
        <v>82</v>
      </c>
      <c r="D24" s="25" t="s">
        <v>175</v>
      </c>
      <c r="E24" s="14" t="s">
        <v>5</v>
      </c>
      <c r="F24" s="14"/>
      <c r="G24" s="210"/>
      <c r="H24" s="210"/>
      <c r="I24" s="199"/>
      <c r="J24" s="192">
        <f t="shared" si="1"/>
        <v>0</v>
      </c>
    </row>
    <row r="25" spans="1:10" s="92" customFormat="1" ht="12.75" customHeight="1" hidden="1">
      <c r="A25" s="87" t="s">
        <v>6</v>
      </c>
      <c r="B25" s="89" t="s">
        <v>170</v>
      </c>
      <c r="C25" s="89" t="s">
        <v>82</v>
      </c>
      <c r="D25" s="89" t="s">
        <v>175</v>
      </c>
      <c r="E25" s="27" t="s">
        <v>7</v>
      </c>
      <c r="F25" s="27"/>
      <c r="G25" s="209"/>
      <c r="H25" s="209"/>
      <c r="I25" s="202"/>
      <c r="J25" s="192">
        <f t="shared" si="1"/>
        <v>0</v>
      </c>
    </row>
    <row r="26" spans="1:10" s="92" customFormat="1" ht="12.75" customHeight="1" hidden="1">
      <c r="A26" s="87" t="s">
        <v>8</v>
      </c>
      <c r="B26" s="89" t="s">
        <v>170</v>
      </c>
      <c r="C26" s="89" t="s">
        <v>82</v>
      </c>
      <c r="D26" s="89" t="s">
        <v>175</v>
      </c>
      <c r="E26" s="27" t="s">
        <v>9</v>
      </c>
      <c r="F26" s="27"/>
      <c r="G26" s="209"/>
      <c r="H26" s="209"/>
      <c r="I26" s="202"/>
      <c r="J26" s="192">
        <f t="shared" si="1"/>
        <v>0</v>
      </c>
    </row>
    <row r="27" spans="1:10" s="31" customFormat="1" ht="25.5" customHeight="1" hidden="1">
      <c r="A27" s="11" t="s">
        <v>10</v>
      </c>
      <c r="B27" s="91"/>
      <c r="C27" s="91"/>
      <c r="D27" s="91"/>
      <c r="E27" s="4"/>
      <c r="F27" s="4" t="s">
        <v>183</v>
      </c>
      <c r="G27" s="210"/>
      <c r="H27" s="210"/>
      <c r="I27" s="199"/>
      <c r="J27" s="192">
        <f t="shared" si="1"/>
        <v>0</v>
      </c>
    </row>
    <row r="28" spans="1:10" s="31" customFormat="1" ht="12.75" customHeight="1" hidden="1">
      <c r="A28" s="12" t="s">
        <v>11</v>
      </c>
      <c r="B28" s="91"/>
      <c r="C28" s="91"/>
      <c r="D28" s="91"/>
      <c r="E28" s="4"/>
      <c r="F28" s="4"/>
      <c r="G28" s="210"/>
      <c r="H28" s="210"/>
      <c r="I28" s="199"/>
      <c r="J28" s="192">
        <f t="shared" si="1"/>
        <v>0</v>
      </c>
    </row>
    <row r="29" spans="1:10" s="31" customFormat="1" ht="25.5" customHeight="1" hidden="1">
      <c r="A29" s="6" t="s">
        <v>12</v>
      </c>
      <c r="B29" s="91"/>
      <c r="C29" s="91"/>
      <c r="D29" s="91"/>
      <c r="E29" s="4"/>
      <c r="F29" s="4" t="s">
        <v>184</v>
      </c>
      <c r="G29" s="210"/>
      <c r="H29" s="210"/>
      <c r="I29" s="199"/>
      <c r="J29" s="192">
        <f t="shared" si="1"/>
        <v>0</v>
      </c>
    </row>
    <row r="30" spans="1:10" s="92" customFormat="1" ht="12.75" customHeight="1" hidden="1">
      <c r="A30" s="87" t="s">
        <v>13</v>
      </c>
      <c r="B30" s="89" t="s">
        <v>170</v>
      </c>
      <c r="C30" s="89" t="s">
        <v>82</v>
      </c>
      <c r="D30" s="89" t="s">
        <v>175</v>
      </c>
      <c r="E30" s="27" t="s">
        <v>14</v>
      </c>
      <c r="F30" s="27"/>
      <c r="G30" s="209"/>
      <c r="H30" s="209"/>
      <c r="I30" s="202"/>
      <c r="J30" s="192">
        <f t="shared" si="1"/>
        <v>0</v>
      </c>
    </row>
    <row r="31" spans="1:10" s="72" customFormat="1" ht="12.75" customHeight="1" hidden="1">
      <c r="A31" s="43" t="s">
        <v>15</v>
      </c>
      <c r="B31" s="70" t="s">
        <v>170</v>
      </c>
      <c r="C31" s="70" t="s">
        <v>82</v>
      </c>
      <c r="D31" s="70" t="s">
        <v>175</v>
      </c>
      <c r="E31" s="44" t="s">
        <v>16</v>
      </c>
      <c r="F31" s="44"/>
      <c r="G31" s="207"/>
      <c r="H31" s="207"/>
      <c r="I31" s="198"/>
      <c r="J31" s="192">
        <f t="shared" si="1"/>
        <v>0</v>
      </c>
    </row>
    <row r="32" spans="1:10" s="92" customFormat="1" ht="12.75" customHeight="1" hidden="1">
      <c r="A32" s="87" t="s">
        <v>17</v>
      </c>
      <c r="B32" s="89" t="s">
        <v>170</v>
      </c>
      <c r="C32" s="89" t="s">
        <v>82</v>
      </c>
      <c r="D32" s="89" t="s">
        <v>175</v>
      </c>
      <c r="E32" s="27" t="s">
        <v>18</v>
      </c>
      <c r="F32" s="27"/>
      <c r="G32" s="209"/>
      <c r="H32" s="209"/>
      <c r="I32" s="202"/>
      <c r="J32" s="192">
        <f t="shared" si="1"/>
        <v>0</v>
      </c>
    </row>
    <row r="33" spans="1:10" s="92" customFormat="1" ht="12.75" customHeight="1" hidden="1">
      <c r="A33" s="87" t="s">
        <v>21</v>
      </c>
      <c r="B33" s="89" t="s">
        <v>170</v>
      </c>
      <c r="C33" s="89" t="s">
        <v>82</v>
      </c>
      <c r="D33" s="89" t="s">
        <v>175</v>
      </c>
      <c r="E33" s="27" t="s">
        <v>19</v>
      </c>
      <c r="F33" s="27"/>
      <c r="G33" s="209"/>
      <c r="H33" s="209"/>
      <c r="I33" s="202"/>
      <c r="J33" s="192">
        <f t="shared" si="1"/>
        <v>0</v>
      </c>
    </row>
    <row r="34" spans="1:10" s="31" customFormat="1" ht="25.5" customHeight="1" hidden="1">
      <c r="A34" s="11" t="s">
        <v>20</v>
      </c>
      <c r="B34" s="91"/>
      <c r="C34" s="91"/>
      <c r="D34" s="91"/>
      <c r="E34" s="4"/>
      <c r="F34" s="4" t="s">
        <v>183</v>
      </c>
      <c r="G34" s="210"/>
      <c r="H34" s="210"/>
      <c r="I34" s="199"/>
      <c r="J34" s="192">
        <f t="shared" si="1"/>
        <v>0</v>
      </c>
    </row>
    <row r="35" spans="1:10" s="31" customFormat="1" ht="38.25" customHeight="1" hidden="1">
      <c r="A35" s="8" t="s">
        <v>22</v>
      </c>
      <c r="B35" s="91"/>
      <c r="C35" s="91"/>
      <c r="D35" s="91"/>
      <c r="E35" s="4"/>
      <c r="F35" s="4" t="s">
        <v>185</v>
      </c>
      <c r="G35" s="210"/>
      <c r="H35" s="210"/>
      <c r="I35" s="199"/>
      <c r="J35" s="192">
        <f t="shared" si="1"/>
        <v>0</v>
      </c>
    </row>
    <row r="36" spans="1:10" s="92" customFormat="1" ht="12.75" customHeight="1" hidden="1">
      <c r="A36" s="87" t="s">
        <v>23</v>
      </c>
      <c r="B36" s="89" t="s">
        <v>170</v>
      </c>
      <c r="C36" s="89" t="s">
        <v>82</v>
      </c>
      <c r="D36" s="89" t="s">
        <v>175</v>
      </c>
      <c r="E36" s="27" t="s">
        <v>24</v>
      </c>
      <c r="F36" s="27"/>
      <c r="G36" s="209"/>
      <c r="H36" s="209"/>
      <c r="I36" s="202"/>
      <c r="J36" s="192">
        <f t="shared" si="1"/>
        <v>0</v>
      </c>
    </row>
    <row r="37" spans="1:10" s="31" customFormat="1" ht="25.5" customHeight="1" hidden="1">
      <c r="A37" s="7" t="s">
        <v>25</v>
      </c>
      <c r="B37" s="91"/>
      <c r="C37" s="91"/>
      <c r="D37" s="91"/>
      <c r="E37" s="4"/>
      <c r="F37" s="4" t="s">
        <v>186</v>
      </c>
      <c r="G37" s="210"/>
      <c r="H37" s="210"/>
      <c r="I37" s="199"/>
      <c r="J37" s="192">
        <f t="shared" si="1"/>
        <v>0</v>
      </c>
    </row>
    <row r="38" spans="1:10" s="31" customFormat="1" ht="25.5" customHeight="1" hidden="1">
      <c r="A38" s="7" t="s">
        <v>26</v>
      </c>
      <c r="B38" s="91"/>
      <c r="C38" s="91"/>
      <c r="D38" s="91"/>
      <c r="E38" s="4"/>
      <c r="F38" s="4" t="s">
        <v>187</v>
      </c>
      <c r="G38" s="210"/>
      <c r="H38" s="210"/>
      <c r="I38" s="199"/>
      <c r="J38" s="192">
        <f t="shared" si="1"/>
        <v>0</v>
      </c>
    </row>
    <row r="39" spans="1:10" s="31" customFormat="1" ht="12.75" customHeight="1" hidden="1">
      <c r="A39" s="7" t="s">
        <v>27</v>
      </c>
      <c r="B39" s="91"/>
      <c r="C39" s="91"/>
      <c r="D39" s="91"/>
      <c r="E39" s="4"/>
      <c r="F39" s="4" t="s">
        <v>188</v>
      </c>
      <c r="G39" s="210"/>
      <c r="H39" s="210"/>
      <c r="I39" s="199"/>
      <c r="J39" s="192">
        <f t="shared" si="1"/>
        <v>0</v>
      </c>
    </row>
    <row r="40" spans="1:10" s="92" customFormat="1" ht="12.75" customHeight="1" hidden="1">
      <c r="A40" s="87" t="s">
        <v>28</v>
      </c>
      <c r="B40" s="89" t="s">
        <v>170</v>
      </c>
      <c r="C40" s="89" t="s">
        <v>82</v>
      </c>
      <c r="D40" s="89" t="s">
        <v>175</v>
      </c>
      <c r="E40" s="27" t="s">
        <v>29</v>
      </c>
      <c r="F40" s="27"/>
      <c r="G40" s="209"/>
      <c r="H40" s="209"/>
      <c r="I40" s="202"/>
      <c r="J40" s="192">
        <f t="shared" si="1"/>
        <v>0</v>
      </c>
    </row>
    <row r="41" spans="1:10" s="92" customFormat="1" ht="12.75" customHeight="1" hidden="1">
      <c r="A41" s="87" t="s">
        <v>30</v>
      </c>
      <c r="B41" s="89" t="s">
        <v>170</v>
      </c>
      <c r="C41" s="89" t="s">
        <v>82</v>
      </c>
      <c r="D41" s="89" t="s">
        <v>175</v>
      </c>
      <c r="E41" s="27" t="s">
        <v>31</v>
      </c>
      <c r="F41" s="27"/>
      <c r="G41" s="209"/>
      <c r="H41" s="209"/>
      <c r="I41" s="202"/>
      <c r="J41" s="192">
        <f t="shared" si="1"/>
        <v>0</v>
      </c>
    </row>
    <row r="42" spans="1:10" s="31" customFormat="1" ht="12.75" customHeight="1" hidden="1">
      <c r="A42" s="7" t="s">
        <v>32</v>
      </c>
      <c r="B42" s="91"/>
      <c r="C42" s="91"/>
      <c r="D42" s="91"/>
      <c r="E42" s="17"/>
      <c r="F42" s="17" t="s">
        <v>189</v>
      </c>
      <c r="G42" s="210"/>
      <c r="H42" s="210"/>
      <c r="I42" s="199"/>
      <c r="J42" s="192">
        <f t="shared" si="1"/>
        <v>0</v>
      </c>
    </row>
    <row r="43" spans="1:10" s="31" customFormat="1" ht="12.75" customHeight="1" hidden="1">
      <c r="A43" s="7" t="s">
        <v>33</v>
      </c>
      <c r="B43" s="91"/>
      <c r="C43" s="91"/>
      <c r="D43" s="91"/>
      <c r="E43" s="17"/>
      <c r="F43" s="17" t="s">
        <v>191</v>
      </c>
      <c r="G43" s="210"/>
      <c r="H43" s="210"/>
      <c r="I43" s="199"/>
      <c r="J43" s="192">
        <f t="shared" si="1"/>
        <v>0</v>
      </c>
    </row>
    <row r="44" spans="1:10" s="31" customFormat="1" ht="25.5" customHeight="1" hidden="1">
      <c r="A44" s="7" t="s">
        <v>34</v>
      </c>
      <c r="B44" s="91"/>
      <c r="C44" s="91"/>
      <c r="D44" s="91"/>
      <c r="E44" s="17"/>
      <c r="F44" s="17" t="s">
        <v>221</v>
      </c>
      <c r="G44" s="210"/>
      <c r="H44" s="210"/>
      <c r="I44" s="199"/>
      <c r="J44" s="192">
        <f t="shared" si="1"/>
        <v>0</v>
      </c>
    </row>
    <row r="45" spans="1:10" s="31" customFormat="1" ht="25.5" customHeight="1" hidden="1">
      <c r="A45" s="7" t="s">
        <v>35</v>
      </c>
      <c r="B45" s="91"/>
      <c r="C45" s="91"/>
      <c r="D45" s="91"/>
      <c r="E45" s="17"/>
      <c r="F45" s="17" t="s">
        <v>190</v>
      </c>
      <c r="G45" s="210"/>
      <c r="H45" s="210"/>
      <c r="I45" s="199"/>
      <c r="J45" s="192">
        <f t="shared" si="1"/>
        <v>0</v>
      </c>
    </row>
    <row r="46" spans="1:10" s="31" customFormat="1" ht="51" customHeight="1" hidden="1">
      <c r="A46" s="7" t="s">
        <v>36</v>
      </c>
      <c r="B46" s="91"/>
      <c r="C46" s="91"/>
      <c r="D46" s="91"/>
      <c r="E46" s="17"/>
      <c r="F46" s="17" t="s">
        <v>224</v>
      </c>
      <c r="G46" s="210"/>
      <c r="H46" s="210"/>
      <c r="I46" s="199"/>
      <c r="J46" s="192">
        <f t="shared" si="1"/>
        <v>0</v>
      </c>
    </row>
    <row r="47" spans="1:10" s="92" customFormat="1" ht="12.75" customHeight="1" hidden="1">
      <c r="A47" s="87" t="s">
        <v>37</v>
      </c>
      <c r="B47" s="89" t="s">
        <v>170</v>
      </c>
      <c r="C47" s="89" t="s">
        <v>82</v>
      </c>
      <c r="D47" s="89" t="s">
        <v>175</v>
      </c>
      <c r="E47" s="27" t="s">
        <v>38</v>
      </c>
      <c r="F47" s="27"/>
      <c r="G47" s="209"/>
      <c r="H47" s="209"/>
      <c r="I47" s="202"/>
      <c r="J47" s="192">
        <f t="shared" si="1"/>
        <v>0</v>
      </c>
    </row>
    <row r="48" spans="1:10" s="31" customFormat="1" ht="38.25" customHeight="1" hidden="1">
      <c r="A48" s="11" t="s">
        <v>39</v>
      </c>
      <c r="B48" s="91"/>
      <c r="C48" s="91"/>
      <c r="D48" s="91"/>
      <c r="E48" s="20"/>
      <c r="F48" s="20" t="s">
        <v>183</v>
      </c>
      <c r="G48" s="210"/>
      <c r="H48" s="210"/>
      <c r="I48" s="199"/>
      <c r="J48" s="192">
        <f t="shared" si="1"/>
        <v>0</v>
      </c>
    </row>
    <row r="49" spans="1:10" s="31" customFormat="1" ht="38.25" customHeight="1" hidden="1">
      <c r="A49" s="19" t="s">
        <v>40</v>
      </c>
      <c r="B49" s="91"/>
      <c r="C49" s="91"/>
      <c r="D49" s="91"/>
      <c r="E49" s="20"/>
      <c r="F49" s="20" t="s">
        <v>222</v>
      </c>
      <c r="G49" s="210"/>
      <c r="H49" s="210"/>
      <c r="I49" s="199"/>
      <c r="J49" s="192">
        <f t="shared" si="1"/>
        <v>0</v>
      </c>
    </row>
    <row r="50" spans="1:10" s="31" customFormat="1" ht="25.5" customHeight="1" hidden="1">
      <c r="A50" s="12" t="s">
        <v>41</v>
      </c>
      <c r="B50" s="91"/>
      <c r="C50" s="91"/>
      <c r="D50" s="91"/>
      <c r="E50" s="20"/>
      <c r="F50" s="20" t="s">
        <v>192</v>
      </c>
      <c r="G50" s="210"/>
      <c r="H50" s="210"/>
      <c r="I50" s="199"/>
      <c r="J50" s="192">
        <f t="shared" si="1"/>
        <v>0</v>
      </c>
    </row>
    <row r="51" spans="1:10" s="72" customFormat="1" ht="12.75" customHeight="1" hidden="1">
      <c r="A51" s="43" t="s">
        <v>42</v>
      </c>
      <c r="B51" s="70" t="s">
        <v>170</v>
      </c>
      <c r="C51" s="70" t="s">
        <v>82</v>
      </c>
      <c r="D51" s="70" t="s">
        <v>175</v>
      </c>
      <c r="E51" s="44" t="s">
        <v>43</v>
      </c>
      <c r="F51" s="44"/>
      <c r="G51" s="207"/>
      <c r="H51" s="207"/>
      <c r="I51" s="198"/>
      <c r="J51" s="192">
        <f t="shared" si="1"/>
        <v>0</v>
      </c>
    </row>
    <row r="52" spans="1:10" s="92" customFormat="1" ht="12.75" customHeight="1" hidden="1">
      <c r="A52" s="87" t="s">
        <v>44</v>
      </c>
      <c r="B52" s="89" t="s">
        <v>170</v>
      </c>
      <c r="C52" s="89" t="s">
        <v>82</v>
      </c>
      <c r="D52" s="89" t="s">
        <v>175</v>
      </c>
      <c r="E52" s="27" t="s">
        <v>45</v>
      </c>
      <c r="F52" s="27"/>
      <c r="G52" s="209"/>
      <c r="H52" s="209"/>
      <c r="I52" s="202"/>
      <c r="J52" s="192">
        <f t="shared" si="1"/>
        <v>0</v>
      </c>
    </row>
    <row r="53" spans="1:10" s="31" customFormat="1" ht="12.75" customHeight="1" hidden="1">
      <c r="A53" s="6" t="s">
        <v>46</v>
      </c>
      <c r="B53" s="91"/>
      <c r="C53" s="91"/>
      <c r="D53" s="91"/>
      <c r="E53" s="20"/>
      <c r="F53" s="20"/>
      <c r="G53" s="210"/>
      <c r="H53" s="210"/>
      <c r="I53" s="199"/>
      <c r="J53" s="192">
        <f t="shared" si="1"/>
        <v>0</v>
      </c>
    </row>
    <row r="54" spans="1:10" s="72" customFormat="1" ht="12.75" customHeight="1" hidden="1">
      <c r="A54" s="43" t="s">
        <v>47</v>
      </c>
      <c r="B54" s="70" t="s">
        <v>170</v>
      </c>
      <c r="C54" s="70" t="s">
        <v>82</v>
      </c>
      <c r="D54" s="70" t="s">
        <v>175</v>
      </c>
      <c r="E54" s="44" t="s">
        <v>48</v>
      </c>
      <c r="F54" s="44"/>
      <c r="G54" s="207"/>
      <c r="H54" s="207"/>
      <c r="I54" s="198"/>
      <c r="J54" s="192">
        <f t="shared" si="1"/>
        <v>0</v>
      </c>
    </row>
    <row r="55" spans="1:10" s="31" customFormat="1" ht="25.5" customHeight="1" hidden="1">
      <c r="A55" s="12" t="s">
        <v>41</v>
      </c>
      <c r="B55" s="91"/>
      <c r="C55" s="91"/>
      <c r="D55" s="91"/>
      <c r="E55" s="20"/>
      <c r="F55" s="20"/>
      <c r="G55" s="210"/>
      <c r="H55" s="210"/>
      <c r="I55" s="199"/>
      <c r="J55" s="192">
        <f t="shared" si="1"/>
        <v>0</v>
      </c>
    </row>
    <row r="56" spans="1:10" s="72" customFormat="1" ht="12.75" customHeight="1" hidden="1">
      <c r="A56" s="43" t="s">
        <v>49</v>
      </c>
      <c r="B56" s="70" t="s">
        <v>170</v>
      </c>
      <c r="C56" s="70" t="s">
        <v>82</v>
      </c>
      <c r="D56" s="70" t="s">
        <v>175</v>
      </c>
      <c r="E56" s="44" t="s">
        <v>50</v>
      </c>
      <c r="F56" s="44"/>
      <c r="G56" s="207"/>
      <c r="H56" s="207"/>
      <c r="I56" s="198"/>
      <c r="J56" s="192">
        <f t="shared" si="1"/>
        <v>0</v>
      </c>
    </row>
    <row r="57" spans="1:10" s="92" customFormat="1" ht="12.75" customHeight="1" hidden="1">
      <c r="A57" s="87" t="s">
        <v>51</v>
      </c>
      <c r="B57" s="89" t="s">
        <v>170</v>
      </c>
      <c r="C57" s="89" t="s">
        <v>82</v>
      </c>
      <c r="D57" s="89" t="s">
        <v>175</v>
      </c>
      <c r="E57" s="27" t="s">
        <v>52</v>
      </c>
      <c r="F57" s="27"/>
      <c r="G57" s="209"/>
      <c r="H57" s="209"/>
      <c r="I57" s="202"/>
      <c r="J57" s="192">
        <f t="shared" si="1"/>
        <v>0</v>
      </c>
    </row>
    <row r="58" spans="1:10" s="31" customFormat="1" ht="12.75" customHeight="1" hidden="1">
      <c r="A58" s="7" t="s">
        <v>53</v>
      </c>
      <c r="B58" s="91"/>
      <c r="C58" s="91"/>
      <c r="D58" s="91"/>
      <c r="E58" s="20"/>
      <c r="F58" s="20" t="s">
        <v>223</v>
      </c>
      <c r="G58" s="210"/>
      <c r="H58" s="210"/>
      <c r="I58" s="199"/>
      <c r="J58" s="192">
        <f t="shared" si="1"/>
        <v>0</v>
      </c>
    </row>
    <row r="59" spans="1:10" s="31" customFormat="1" ht="51" customHeight="1" hidden="1">
      <c r="A59" s="7" t="s">
        <v>54</v>
      </c>
      <c r="B59" s="91"/>
      <c r="C59" s="91"/>
      <c r="D59" s="91"/>
      <c r="E59" s="20"/>
      <c r="F59" s="20" t="s">
        <v>194</v>
      </c>
      <c r="G59" s="210"/>
      <c r="H59" s="210"/>
      <c r="I59" s="199"/>
      <c r="J59" s="192">
        <f t="shared" si="1"/>
        <v>0</v>
      </c>
    </row>
    <row r="60" spans="1:10" s="31" customFormat="1" ht="63.75" customHeight="1" hidden="1">
      <c r="A60" s="7" t="s">
        <v>55</v>
      </c>
      <c r="B60" s="91"/>
      <c r="C60" s="91"/>
      <c r="D60" s="91"/>
      <c r="E60" s="20"/>
      <c r="F60" s="20" t="s">
        <v>193</v>
      </c>
      <c r="G60" s="210"/>
      <c r="H60" s="210"/>
      <c r="I60" s="199"/>
      <c r="J60" s="192">
        <f t="shared" si="1"/>
        <v>0</v>
      </c>
    </row>
    <row r="61" spans="1:10" s="92" customFormat="1" ht="12.75" customHeight="1" hidden="1">
      <c r="A61" s="87" t="s">
        <v>56</v>
      </c>
      <c r="B61" s="89" t="s">
        <v>170</v>
      </c>
      <c r="C61" s="89" t="s">
        <v>82</v>
      </c>
      <c r="D61" s="89" t="s">
        <v>175</v>
      </c>
      <c r="E61" s="27" t="s">
        <v>57</v>
      </c>
      <c r="F61" s="27"/>
      <c r="G61" s="209"/>
      <c r="H61" s="209"/>
      <c r="I61" s="202"/>
      <c r="J61" s="192">
        <f t="shared" si="1"/>
        <v>0</v>
      </c>
    </row>
    <row r="62" spans="1:10" s="31" customFormat="1" ht="25.5" customHeight="1" hidden="1">
      <c r="A62" s="7" t="s">
        <v>58</v>
      </c>
      <c r="B62" s="91"/>
      <c r="C62" s="91"/>
      <c r="D62" s="91"/>
      <c r="E62" s="20"/>
      <c r="F62" s="20" t="s">
        <v>195</v>
      </c>
      <c r="G62" s="210"/>
      <c r="H62" s="210"/>
      <c r="I62" s="199"/>
      <c r="J62" s="192">
        <f t="shared" si="1"/>
        <v>0</v>
      </c>
    </row>
    <row r="63" spans="1:10" s="31" customFormat="1" ht="12.75" customHeight="1" hidden="1">
      <c r="A63" s="7" t="s">
        <v>59</v>
      </c>
      <c r="B63" s="91"/>
      <c r="C63" s="91"/>
      <c r="D63" s="91"/>
      <c r="E63" s="20"/>
      <c r="F63" s="20" t="s">
        <v>196</v>
      </c>
      <c r="G63" s="210"/>
      <c r="H63" s="210"/>
      <c r="I63" s="199"/>
      <c r="J63" s="192">
        <f t="shared" si="1"/>
        <v>0</v>
      </c>
    </row>
    <row r="64" spans="1:10" s="31" customFormat="1" ht="12.75" customHeight="1" hidden="1">
      <c r="A64" s="7" t="s">
        <v>60</v>
      </c>
      <c r="B64" s="91"/>
      <c r="C64" s="91"/>
      <c r="D64" s="91"/>
      <c r="E64" s="20"/>
      <c r="F64" s="20" t="s">
        <v>197</v>
      </c>
      <c r="G64" s="210"/>
      <c r="H64" s="210"/>
      <c r="I64" s="199"/>
      <c r="J64" s="192">
        <f t="shared" si="1"/>
        <v>0</v>
      </c>
    </row>
    <row r="65" spans="1:10" s="31" customFormat="1" ht="38.25" customHeight="1" hidden="1">
      <c r="A65" s="7" t="s">
        <v>61</v>
      </c>
      <c r="B65" s="91"/>
      <c r="C65" s="91"/>
      <c r="D65" s="91"/>
      <c r="E65" s="20"/>
      <c r="F65" s="20" t="s">
        <v>198</v>
      </c>
      <c r="G65" s="210"/>
      <c r="H65" s="210"/>
      <c r="I65" s="199"/>
      <c r="J65" s="192">
        <f t="shared" si="1"/>
        <v>0</v>
      </c>
    </row>
    <row r="66" spans="1:10" s="15" customFormat="1" ht="15" customHeight="1" hidden="1">
      <c r="A66" s="49" t="s">
        <v>176</v>
      </c>
      <c r="B66" s="48" t="s">
        <v>170</v>
      </c>
      <c r="C66" s="48" t="s">
        <v>82</v>
      </c>
      <c r="D66" s="48" t="s">
        <v>175</v>
      </c>
      <c r="E66" s="48" t="s">
        <v>2</v>
      </c>
      <c r="F66" s="48"/>
      <c r="G66" s="211"/>
      <c r="H66" s="211"/>
      <c r="I66" s="196"/>
      <c r="J66" s="192">
        <f t="shared" si="1"/>
        <v>0</v>
      </c>
    </row>
    <row r="67" spans="1:10" s="45" customFormat="1" ht="13.5" customHeight="1" hidden="1">
      <c r="A67" s="43" t="s">
        <v>4</v>
      </c>
      <c r="B67" s="44" t="s">
        <v>170</v>
      </c>
      <c r="C67" s="44" t="s">
        <v>182</v>
      </c>
      <c r="D67" s="44" t="s">
        <v>175</v>
      </c>
      <c r="E67" s="44" t="s">
        <v>5</v>
      </c>
      <c r="F67" s="44"/>
      <c r="G67" s="197"/>
      <c r="H67" s="197"/>
      <c r="I67" s="198"/>
      <c r="J67" s="192">
        <f t="shared" si="1"/>
        <v>0</v>
      </c>
    </row>
    <row r="68" spans="1:10" s="28" customFormat="1" ht="12.75" hidden="1">
      <c r="A68" s="87" t="s">
        <v>6</v>
      </c>
      <c r="B68" s="27" t="s">
        <v>170</v>
      </c>
      <c r="C68" s="27" t="s">
        <v>182</v>
      </c>
      <c r="D68" s="27" t="s">
        <v>175</v>
      </c>
      <c r="E68" s="27" t="s">
        <v>7</v>
      </c>
      <c r="F68" s="27"/>
      <c r="G68" s="201"/>
      <c r="H68" s="201"/>
      <c r="I68" s="202"/>
      <c r="J68" s="192">
        <f t="shared" si="1"/>
        <v>0</v>
      </c>
    </row>
    <row r="69" spans="1:10" s="28" customFormat="1" ht="12.75" hidden="1">
      <c r="A69" s="87" t="s">
        <v>8</v>
      </c>
      <c r="B69" s="27" t="s">
        <v>170</v>
      </c>
      <c r="C69" s="27" t="s">
        <v>182</v>
      </c>
      <c r="D69" s="27" t="s">
        <v>175</v>
      </c>
      <c r="E69" s="27" t="s">
        <v>9</v>
      </c>
      <c r="F69" s="27"/>
      <c r="G69" s="201"/>
      <c r="H69" s="201"/>
      <c r="I69" s="202"/>
      <c r="J69" s="192">
        <f t="shared" si="1"/>
        <v>0</v>
      </c>
    </row>
    <row r="70" spans="1:10" ht="25.5" hidden="1">
      <c r="A70" s="11" t="s">
        <v>10</v>
      </c>
      <c r="B70" s="4"/>
      <c r="C70" s="4"/>
      <c r="D70" s="4"/>
      <c r="E70" s="4"/>
      <c r="F70" s="4" t="s">
        <v>183</v>
      </c>
      <c r="G70" s="200"/>
      <c r="H70" s="200"/>
      <c r="I70" s="199"/>
      <c r="J70" s="192">
        <f t="shared" si="1"/>
        <v>0</v>
      </c>
    </row>
    <row r="71" spans="1:10" ht="12.75" customHeight="1" hidden="1">
      <c r="A71" s="12" t="s">
        <v>11</v>
      </c>
      <c r="B71" s="4"/>
      <c r="C71" s="4"/>
      <c r="D71" s="4"/>
      <c r="E71" s="4"/>
      <c r="F71" s="4" t="s">
        <v>200</v>
      </c>
      <c r="G71" s="200"/>
      <c r="H71" s="200"/>
      <c r="I71" s="199"/>
      <c r="J71" s="192">
        <f t="shared" si="1"/>
        <v>0</v>
      </c>
    </row>
    <row r="72" spans="1:10" ht="26.25" customHeight="1" hidden="1">
      <c r="A72" s="6" t="s">
        <v>12</v>
      </c>
      <c r="B72" s="4"/>
      <c r="C72" s="4"/>
      <c r="D72" s="4"/>
      <c r="E72" s="4"/>
      <c r="F72" s="4" t="s">
        <v>184</v>
      </c>
      <c r="G72" s="200"/>
      <c r="H72" s="200"/>
      <c r="I72" s="199"/>
      <c r="J72" s="192">
        <f t="shared" si="1"/>
        <v>0</v>
      </c>
    </row>
    <row r="73" spans="1:10" s="28" customFormat="1" ht="12.75" hidden="1">
      <c r="A73" s="87" t="s">
        <v>13</v>
      </c>
      <c r="B73" s="27" t="s">
        <v>170</v>
      </c>
      <c r="C73" s="27" t="s">
        <v>182</v>
      </c>
      <c r="D73" s="27" t="s">
        <v>175</v>
      </c>
      <c r="E73" s="27" t="s">
        <v>14</v>
      </c>
      <c r="F73" s="27"/>
      <c r="G73" s="201"/>
      <c r="H73" s="201"/>
      <c r="I73" s="202"/>
      <c r="J73" s="192">
        <f t="shared" si="1"/>
        <v>0</v>
      </c>
    </row>
    <row r="74" spans="1:10" s="45" customFormat="1" ht="12.75" hidden="1">
      <c r="A74" s="43" t="s">
        <v>15</v>
      </c>
      <c r="B74" s="44" t="s">
        <v>170</v>
      </c>
      <c r="C74" s="44" t="s">
        <v>182</v>
      </c>
      <c r="D74" s="44" t="s">
        <v>175</v>
      </c>
      <c r="E74" s="44" t="s">
        <v>16</v>
      </c>
      <c r="F74" s="44"/>
      <c r="G74" s="197"/>
      <c r="H74" s="197"/>
      <c r="I74" s="198"/>
      <c r="J74" s="192">
        <f t="shared" si="1"/>
        <v>0</v>
      </c>
    </row>
    <row r="75" spans="1:10" s="28" customFormat="1" ht="12.75" hidden="1">
      <c r="A75" s="87" t="s">
        <v>17</v>
      </c>
      <c r="B75" s="27" t="s">
        <v>170</v>
      </c>
      <c r="C75" s="27" t="s">
        <v>182</v>
      </c>
      <c r="D75" s="27" t="s">
        <v>175</v>
      </c>
      <c r="E75" s="27" t="s">
        <v>18</v>
      </c>
      <c r="F75" s="27"/>
      <c r="G75" s="201"/>
      <c r="H75" s="201"/>
      <c r="I75" s="202"/>
      <c r="J75" s="192">
        <f aca="true" t="shared" si="2" ref="J75:J138">H75-I75</f>
        <v>0</v>
      </c>
    </row>
    <row r="76" spans="1:10" s="28" customFormat="1" ht="12.75" hidden="1">
      <c r="A76" s="87" t="s">
        <v>21</v>
      </c>
      <c r="B76" s="27" t="s">
        <v>170</v>
      </c>
      <c r="C76" s="27" t="s">
        <v>182</v>
      </c>
      <c r="D76" s="27" t="s">
        <v>175</v>
      </c>
      <c r="E76" s="27" t="s">
        <v>19</v>
      </c>
      <c r="F76" s="27"/>
      <c r="G76" s="201"/>
      <c r="H76" s="201"/>
      <c r="I76" s="202"/>
      <c r="J76" s="192">
        <f t="shared" si="2"/>
        <v>0</v>
      </c>
    </row>
    <row r="77" spans="1:10" ht="25.5" hidden="1">
      <c r="A77" s="11" t="s">
        <v>20</v>
      </c>
      <c r="B77" s="4"/>
      <c r="C77" s="4"/>
      <c r="D77" s="4"/>
      <c r="E77" s="4"/>
      <c r="F77" s="4" t="s">
        <v>183</v>
      </c>
      <c r="G77" s="200"/>
      <c r="H77" s="200"/>
      <c r="I77" s="199"/>
      <c r="J77" s="192">
        <f t="shared" si="2"/>
        <v>0</v>
      </c>
    </row>
    <row r="78" spans="1:10" ht="38.25" hidden="1">
      <c r="A78" s="8" t="s">
        <v>22</v>
      </c>
      <c r="B78" s="4"/>
      <c r="C78" s="4"/>
      <c r="D78" s="4"/>
      <c r="E78" s="4"/>
      <c r="F78" s="4" t="s">
        <v>185</v>
      </c>
      <c r="G78" s="200"/>
      <c r="H78" s="200"/>
      <c r="I78" s="199"/>
      <c r="J78" s="192">
        <f t="shared" si="2"/>
        <v>0</v>
      </c>
    </row>
    <row r="79" spans="1:10" s="28" customFormat="1" ht="12.75" hidden="1">
      <c r="A79" s="87" t="s">
        <v>23</v>
      </c>
      <c r="B79" s="27" t="s">
        <v>170</v>
      </c>
      <c r="C79" s="27" t="s">
        <v>182</v>
      </c>
      <c r="D79" s="27" t="s">
        <v>175</v>
      </c>
      <c r="E79" s="27" t="s">
        <v>24</v>
      </c>
      <c r="F79" s="27"/>
      <c r="G79" s="201"/>
      <c r="H79" s="201"/>
      <c r="I79" s="202"/>
      <c r="J79" s="192">
        <f t="shared" si="2"/>
        <v>0</v>
      </c>
    </row>
    <row r="80" spans="1:10" ht="12.75" customHeight="1" hidden="1">
      <c r="A80" s="7" t="s">
        <v>25</v>
      </c>
      <c r="B80" s="4"/>
      <c r="C80" s="4"/>
      <c r="D80" s="4"/>
      <c r="E80" s="4"/>
      <c r="F80" s="4" t="s">
        <v>186</v>
      </c>
      <c r="G80" s="200"/>
      <c r="H80" s="200"/>
      <c r="I80" s="199"/>
      <c r="J80" s="192">
        <f t="shared" si="2"/>
        <v>0</v>
      </c>
    </row>
    <row r="81" spans="1:10" ht="12.75" customHeight="1" hidden="1">
      <c r="A81" s="7" t="s">
        <v>26</v>
      </c>
      <c r="B81" s="4"/>
      <c r="C81" s="4"/>
      <c r="D81" s="4"/>
      <c r="E81" s="4"/>
      <c r="F81" s="4" t="s">
        <v>187</v>
      </c>
      <c r="G81" s="200"/>
      <c r="H81" s="200"/>
      <c r="I81" s="199"/>
      <c r="J81" s="192">
        <f t="shared" si="2"/>
        <v>0</v>
      </c>
    </row>
    <row r="82" spans="1:10" ht="12.75" hidden="1">
      <c r="A82" s="7" t="s">
        <v>27</v>
      </c>
      <c r="B82" s="4"/>
      <c r="C82" s="4"/>
      <c r="D82" s="4"/>
      <c r="E82" s="4"/>
      <c r="F82" s="4" t="s">
        <v>188</v>
      </c>
      <c r="G82" s="200"/>
      <c r="H82" s="200"/>
      <c r="I82" s="199"/>
      <c r="J82" s="192">
        <f t="shared" si="2"/>
        <v>0</v>
      </c>
    </row>
    <row r="83" spans="1:10" s="28" customFormat="1" ht="15" customHeight="1" hidden="1">
      <c r="A83" s="87" t="s">
        <v>28</v>
      </c>
      <c r="B83" s="27" t="s">
        <v>170</v>
      </c>
      <c r="C83" s="27" t="s">
        <v>182</v>
      </c>
      <c r="D83" s="27" t="s">
        <v>175</v>
      </c>
      <c r="E83" s="27" t="s">
        <v>29</v>
      </c>
      <c r="F83" s="27"/>
      <c r="G83" s="201"/>
      <c r="H83" s="201"/>
      <c r="I83" s="202"/>
      <c r="J83" s="192">
        <f t="shared" si="2"/>
        <v>0</v>
      </c>
    </row>
    <row r="84" spans="1:10" s="28" customFormat="1" ht="12.75" hidden="1">
      <c r="A84" s="87" t="s">
        <v>30</v>
      </c>
      <c r="B84" s="27" t="s">
        <v>170</v>
      </c>
      <c r="C84" s="27" t="s">
        <v>182</v>
      </c>
      <c r="D84" s="27" t="s">
        <v>175</v>
      </c>
      <c r="E84" s="27" t="s">
        <v>31</v>
      </c>
      <c r="F84" s="27"/>
      <c r="G84" s="201"/>
      <c r="H84" s="201"/>
      <c r="I84" s="202"/>
      <c r="J84" s="192">
        <f t="shared" si="2"/>
        <v>0</v>
      </c>
    </row>
    <row r="85" spans="1:10" s="30" customFormat="1" ht="12.75" hidden="1">
      <c r="A85" s="7" t="s">
        <v>32</v>
      </c>
      <c r="B85" s="29"/>
      <c r="C85" s="29"/>
      <c r="D85" s="29"/>
      <c r="E85" s="29"/>
      <c r="F85" s="17" t="s">
        <v>189</v>
      </c>
      <c r="G85" s="212"/>
      <c r="H85" s="212"/>
      <c r="I85" s="205"/>
      <c r="J85" s="192">
        <f t="shared" si="2"/>
        <v>0</v>
      </c>
    </row>
    <row r="86" spans="1:10" s="18" customFormat="1" ht="12.75" hidden="1">
      <c r="A86" s="7" t="s">
        <v>33</v>
      </c>
      <c r="B86" s="17"/>
      <c r="C86" s="17"/>
      <c r="D86" s="17"/>
      <c r="E86" s="17"/>
      <c r="F86" s="17" t="s">
        <v>191</v>
      </c>
      <c r="G86" s="186"/>
      <c r="H86" s="186"/>
      <c r="I86" s="213"/>
      <c r="J86" s="192">
        <f t="shared" si="2"/>
        <v>0</v>
      </c>
    </row>
    <row r="87" spans="1:10" s="18" customFormat="1" ht="25.5" hidden="1">
      <c r="A87" s="7" t="s">
        <v>34</v>
      </c>
      <c r="B87" s="17"/>
      <c r="C87" s="17"/>
      <c r="D87" s="17"/>
      <c r="E87" s="17"/>
      <c r="F87" s="17" t="s">
        <v>221</v>
      </c>
      <c r="G87" s="186"/>
      <c r="H87" s="186"/>
      <c r="I87" s="213"/>
      <c r="J87" s="192">
        <f t="shared" si="2"/>
        <v>0</v>
      </c>
    </row>
    <row r="88" spans="1:10" s="18" customFormat="1" ht="25.5" hidden="1">
      <c r="A88" s="7" t="s">
        <v>35</v>
      </c>
      <c r="B88" s="17"/>
      <c r="C88" s="17"/>
      <c r="D88" s="17"/>
      <c r="E88" s="17"/>
      <c r="F88" s="17" t="s">
        <v>190</v>
      </c>
      <c r="G88" s="186"/>
      <c r="H88" s="186"/>
      <c r="I88" s="213"/>
      <c r="J88" s="192">
        <f t="shared" si="2"/>
        <v>0</v>
      </c>
    </row>
    <row r="89" spans="1:10" s="18" customFormat="1" ht="51" hidden="1">
      <c r="A89" s="7" t="s">
        <v>36</v>
      </c>
      <c r="B89" s="17"/>
      <c r="C89" s="17"/>
      <c r="D89" s="17"/>
      <c r="E89" s="17"/>
      <c r="F89" s="17" t="s">
        <v>224</v>
      </c>
      <c r="G89" s="186"/>
      <c r="H89" s="186"/>
      <c r="I89" s="213"/>
      <c r="J89" s="192">
        <f t="shared" si="2"/>
        <v>0</v>
      </c>
    </row>
    <row r="90" spans="1:10" s="28" customFormat="1" ht="12.75" hidden="1">
      <c r="A90" s="87" t="s">
        <v>37</v>
      </c>
      <c r="B90" s="27" t="s">
        <v>170</v>
      </c>
      <c r="C90" s="27" t="s">
        <v>182</v>
      </c>
      <c r="D90" s="27" t="s">
        <v>175</v>
      </c>
      <c r="E90" s="27" t="s">
        <v>38</v>
      </c>
      <c r="F90" s="27"/>
      <c r="G90" s="201"/>
      <c r="H90" s="201"/>
      <c r="I90" s="202"/>
      <c r="J90" s="192">
        <f t="shared" si="2"/>
        <v>0</v>
      </c>
    </row>
    <row r="91" spans="1:10" s="21" customFormat="1" ht="38.25" hidden="1">
      <c r="A91" s="11" t="s">
        <v>39</v>
      </c>
      <c r="B91" s="20"/>
      <c r="C91" s="20"/>
      <c r="D91" s="20"/>
      <c r="E91" s="20"/>
      <c r="F91" s="20" t="s">
        <v>183</v>
      </c>
      <c r="G91" s="214"/>
      <c r="H91" s="214"/>
      <c r="I91" s="215"/>
      <c r="J91" s="192">
        <f t="shared" si="2"/>
        <v>0</v>
      </c>
    </row>
    <row r="92" spans="1:10" s="21" customFormat="1" ht="38.25" hidden="1">
      <c r="A92" s="19" t="s">
        <v>40</v>
      </c>
      <c r="B92" s="20"/>
      <c r="C92" s="20"/>
      <c r="D92" s="20"/>
      <c r="E92" s="20"/>
      <c r="F92" s="20" t="s">
        <v>222</v>
      </c>
      <c r="G92" s="214"/>
      <c r="H92" s="214"/>
      <c r="I92" s="215"/>
      <c r="J92" s="192">
        <f t="shared" si="2"/>
        <v>0</v>
      </c>
    </row>
    <row r="93" spans="1:10" s="21" customFormat="1" ht="25.5" customHeight="1" hidden="1">
      <c r="A93" s="12" t="s">
        <v>41</v>
      </c>
      <c r="B93" s="20"/>
      <c r="C93" s="20"/>
      <c r="D93" s="20"/>
      <c r="E93" s="20"/>
      <c r="F93" s="20" t="s">
        <v>192</v>
      </c>
      <c r="G93" s="214"/>
      <c r="H93" s="214"/>
      <c r="I93" s="215"/>
      <c r="J93" s="192">
        <f t="shared" si="2"/>
        <v>0</v>
      </c>
    </row>
    <row r="94" spans="1:10" s="45" customFormat="1" ht="12.75" hidden="1">
      <c r="A94" s="43" t="s">
        <v>42</v>
      </c>
      <c r="B94" s="44" t="s">
        <v>170</v>
      </c>
      <c r="C94" s="44" t="s">
        <v>182</v>
      </c>
      <c r="D94" s="44" t="s">
        <v>175</v>
      </c>
      <c r="E94" s="44" t="s">
        <v>43</v>
      </c>
      <c r="F94" s="44"/>
      <c r="G94" s="197"/>
      <c r="H94" s="197"/>
      <c r="I94" s="198"/>
      <c r="J94" s="192">
        <f t="shared" si="2"/>
        <v>0</v>
      </c>
    </row>
    <row r="95" spans="1:10" s="28" customFormat="1" ht="12.75" hidden="1">
      <c r="A95" s="87" t="s">
        <v>44</v>
      </c>
      <c r="B95" s="27" t="s">
        <v>170</v>
      </c>
      <c r="C95" s="27" t="s">
        <v>182</v>
      </c>
      <c r="D95" s="27" t="s">
        <v>175</v>
      </c>
      <c r="E95" s="27" t="s">
        <v>45</v>
      </c>
      <c r="F95" s="27"/>
      <c r="G95" s="201"/>
      <c r="H95" s="201"/>
      <c r="I95" s="202"/>
      <c r="J95" s="192">
        <f t="shared" si="2"/>
        <v>0</v>
      </c>
    </row>
    <row r="96" spans="1:10" s="21" customFormat="1" ht="12.75" hidden="1">
      <c r="A96" s="6" t="s">
        <v>46</v>
      </c>
      <c r="B96" s="20"/>
      <c r="C96" s="20"/>
      <c r="D96" s="20"/>
      <c r="E96" s="20"/>
      <c r="F96" s="20"/>
      <c r="G96" s="214"/>
      <c r="H96" s="214"/>
      <c r="I96" s="215"/>
      <c r="J96" s="192">
        <f t="shared" si="2"/>
        <v>0</v>
      </c>
    </row>
    <row r="97" spans="1:10" s="45" customFormat="1" ht="12.75" hidden="1">
      <c r="A97" s="43" t="s">
        <v>47</v>
      </c>
      <c r="B97" s="44" t="s">
        <v>170</v>
      </c>
      <c r="C97" s="44" t="s">
        <v>182</v>
      </c>
      <c r="D97" s="44" t="s">
        <v>175</v>
      </c>
      <c r="E97" s="44" t="s">
        <v>48</v>
      </c>
      <c r="F97" s="44"/>
      <c r="G97" s="197"/>
      <c r="H97" s="197"/>
      <c r="I97" s="198"/>
      <c r="J97" s="192">
        <f t="shared" si="2"/>
        <v>0</v>
      </c>
    </row>
    <row r="98" spans="1:10" s="21" customFormat="1" ht="27.75" customHeight="1" hidden="1">
      <c r="A98" s="12" t="s">
        <v>41</v>
      </c>
      <c r="B98" s="20"/>
      <c r="C98" s="20"/>
      <c r="D98" s="20"/>
      <c r="E98" s="20"/>
      <c r="F98" s="20"/>
      <c r="G98" s="214"/>
      <c r="H98" s="214"/>
      <c r="I98" s="215"/>
      <c r="J98" s="192">
        <f t="shared" si="2"/>
        <v>0</v>
      </c>
    </row>
    <row r="99" spans="1:10" s="45" customFormat="1" ht="12.75" hidden="1">
      <c r="A99" s="43" t="s">
        <v>49</v>
      </c>
      <c r="B99" s="44" t="s">
        <v>170</v>
      </c>
      <c r="C99" s="44" t="s">
        <v>182</v>
      </c>
      <c r="D99" s="44" t="s">
        <v>175</v>
      </c>
      <c r="E99" s="44" t="s">
        <v>50</v>
      </c>
      <c r="F99" s="44"/>
      <c r="G99" s="197"/>
      <c r="H99" s="197"/>
      <c r="I99" s="198"/>
      <c r="J99" s="192">
        <f t="shared" si="2"/>
        <v>0</v>
      </c>
    </row>
    <row r="100" spans="1:10" s="28" customFormat="1" ht="12.75" hidden="1">
      <c r="A100" s="87" t="s">
        <v>51</v>
      </c>
      <c r="B100" s="27" t="s">
        <v>170</v>
      </c>
      <c r="C100" s="27" t="s">
        <v>182</v>
      </c>
      <c r="D100" s="27" t="s">
        <v>175</v>
      </c>
      <c r="E100" s="27" t="s">
        <v>52</v>
      </c>
      <c r="F100" s="27"/>
      <c r="G100" s="201"/>
      <c r="H100" s="201"/>
      <c r="I100" s="202"/>
      <c r="J100" s="192">
        <f t="shared" si="2"/>
        <v>0</v>
      </c>
    </row>
    <row r="101" spans="1:10" s="21" customFormat="1" ht="12.75" hidden="1">
      <c r="A101" s="7" t="s">
        <v>53</v>
      </c>
      <c r="B101" s="20"/>
      <c r="C101" s="20"/>
      <c r="D101" s="20"/>
      <c r="E101" s="20"/>
      <c r="F101" s="20" t="s">
        <v>223</v>
      </c>
      <c r="G101" s="214"/>
      <c r="H101" s="214"/>
      <c r="I101" s="215"/>
      <c r="J101" s="192">
        <f t="shared" si="2"/>
        <v>0</v>
      </c>
    </row>
    <row r="102" spans="1:10" s="21" customFormat="1" ht="38.25" customHeight="1" hidden="1">
      <c r="A102" s="7" t="s">
        <v>54</v>
      </c>
      <c r="B102" s="20"/>
      <c r="C102" s="20"/>
      <c r="D102" s="20"/>
      <c r="E102" s="20"/>
      <c r="F102" s="20" t="s">
        <v>194</v>
      </c>
      <c r="G102" s="214"/>
      <c r="H102" s="214"/>
      <c r="I102" s="215"/>
      <c r="J102" s="192">
        <f t="shared" si="2"/>
        <v>0</v>
      </c>
    </row>
    <row r="103" spans="1:10" s="21" customFormat="1" ht="52.5" customHeight="1" hidden="1">
      <c r="A103" s="7" t="s">
        <v>55</v>
      </c>
      <c r="B103" s="20"/>
      <c r="C103" s="20"/>
      <c r="D103" s="20"/>
      <c r="E103" s="20"/>
      <c r="F103" s="20" t="s">
        <v>193</v>
      </c>
      <c r="G103" s="214"/>
      <c r="H103" s="214"/>
      <c r="I103" s="215"/>
      <c r="J103" s="192">
        <f t="shared" si="2"/>
        <v>0</v>
      </c>
    </row>
    <row r="104" spans="1:10" s="28" customFormat="1" ht="14.25" customHeight="1" hidden="1">
      <c r="A104" s="87" t="s">
        <v>56</v>
      </c>
      <c r="B104" s="27" t="s">
        <v>170</v>
      </c>
      <c r="C104" s="27" t="s">
        <v>182</v>
      </c>
      <c r="D104" s="27" t="s">
        <v>175</v>
      </c>
      <c r="E104" s="27" t="s">
        <v>57</v>
      </c>
      <c r="F104" s="27"/>
      <c r="G104" s="201"/>
      <c r="H104" s="201"/>
      <c r="I104" s="202"/>
      <c r="J104" s="192">
        <f t="shared" si="2"/>
        <v>0</v>
      </c>
    </row>
    <row r="105" spans="1:10" s="21" customFormat="1" ht="25.5" hidden="1">
      <c r="A105" s="7" t="s">
        <v>58</v>
      </c>
      <c r="B105" s="20"/>
      <c r="C105" s="20"/>
      <c r="D105" s="20"/>
      <c r="E105" s="20"/>
      <c r="F105" s="20" t="s">
        <v>195</v>
      </c>
      <c r="G105" s="214"/>
      <c r="H105" s="214"/>
      <c r="I105" s="215"/>
      <c r="J105" s="192">
        <f t="shared" si="2"/>
        <v>0</v>
      </c>
    </row>
    <row r="106" spans="1:10" s="21" customFormat="1" ht="12.75" hidden="1">
      <c r="A106" s="7" t="s">
        <v>59</v>
      </c>
      <c r="B106" s="20"/>
      <c r="C106" s="20"/>
      <c r="D106" s="20"/>
      <c r="E106" s="20"/>
      <c r="F106" s="20" t="s">
        <v>196</v>
      </c>
      <c r="G106" s="214"/>
      <c r="H106" s="214"/>
      <c r="I106" s="215"/>
      <c r="J106" s="192">
        <f t="shared" si="2"/>
        <v>0</v>
      </c>
    </row>
    <row r="107" spans="1:10" s="21" customFormat="1" ht="12.75" hidden="1">
      <c r="A107" s="7" t="s">
        <v>60</v>
      </c>
      <c r="B107" s="20"/>
      <c r="C107" s="20"/>
      <c r="D107" s="20"/>
      <c r="E107" s="20"/>
      <c r="F107" s="20" t="s">
        <v>197</v>
      </c>
      <c r="G107" s="214"/>
      <c r="H107" s="214"/>
      <c r="I107" s="215"/>
      <c r="J107" s="192">
        <f t="shared" si="2"/>
        <v>0</v>
      </c>
    </row>
    <row r="108" spans="1:10" s="21" customFormat="1" ht="39" customHeight="1" hidden="1">
      <c r="A108" s="7" t="s">
        <v>61</v>
      </c>
      <c r="B108" s="20"/>
      <c r="C108" s="20"/>
      <c r="D108" s="20"/>
      <c r="E108" s="20"/>
      <c r="F108" s="20" t="s">
        <v>198</v>
      </c>
      <c r="G108" s="214"/>
      <c r="H108" s="214"/>
      <c r="I108" s="215"/>
      <c r="J108" s="192">
        <f t="shared" si="2"/>
        <v>0</v>
      </c>
    </row>
    <row r="109" spans="1:10" s="21" customFormat="1" ht="54.75" customHeight="1" hidden="1">
      <c r="A109" s="47" t="s">
        <v>181</v>
      </c>
      <c r="B109" s="48" t="s">
        <v>145</v>
      </c>
      <c r="C109" s="48" t="s">
        <v>82</v>
      </c>
      <c r="D109" s="48" t="s">
        <v>2</v>
      </c>
      <c r="E109" s="48" t="s">
        <v>2</v>
      </c>
      <c r="F109" s="48"/>
      <c r="G109" s="214"/>
      <c r="H109" s="214"/>
      <c r="I109" s="215"/>
      <c r="J109" s="192">
        <f t="shared" si="2"/>
        <v>0</v>
      </c>
    </row>
    <row r="110" spans="1:10" s="15" customFormat="1" ht="27" customHeight="1" hidden="1">
      <c r="A110" s="79" t="s">
        <v>171</v>
      </c>
      <c r="B110" s="80" t="s">
        <v>145</v>
      </c>
      <c r="C110" s="80" t="s">
        <v>82</v>
      </c>
      <c r="D110" s="80" t="s">
        <v>2</v>
      </c>
      <c r="E110" s="80" t="s">
        <v>2</v>
      </c>
      <c r="F110" s="48"/>
      <c r="G110" s="211"/>
      <c r="H110" s="211"/>
      <c r="I110" s="196"/>
      <c r="J110" s="192">
        <f t="shared" si="2"/>
        <v>0</v>
      </c>
    </row>
    <row r="111" spans="1:10" s="45" customFormat="1" ht="27" customHeight="1" hidden="1">
      <c r="A111" s="81" t="s">
        <v>177</v>
      </c>
      <c r="B111" s="82" t="s">
        <v>145</v>
      </c>
      <c r="C111" s="82" t="s">
        <v>82</v>
      </c>
      <c r="D111" s="82" t="s">
        <v>178</v>
      </c>
      <c r="E111" s="82" t="s">
        <v>2</v>
      </c>
      <c r="F111" s="82"/>
      <c r="G111" s="197"/>
      <c r="H111" s="197"/>
      <c r="I111" s="198"/>
      <c r="J111" s="192">
        <f t="shared" si="2"/>
        <v>0</v>
      </c>
    </row>
    <row r="112" spans="1:10" s="72" customFormat="1" ht="12.75" customHeight="1" hidden="1">
      <c r="A112" s="10" t="s">
        <v>4</v>
      </c>
      <c r="B112" s="14" t="s">
        <v>145</v>
      </c>
      <c r="C112" s="14" t="s">
        <v>82</v>
      </c>
      <c r="D112" s="14" t="s">
        <v>178</v>
      </c>
      <c r="E112" s="14" t="s">
        <v>5</v>
      </c>
      <c r="F112" s="70"/>
      <c r="G112" s="207"/>
      <c r="H112" s="207"/>
      <c r="I112" s="198"/>
      <c r="J112" s="192">
        <f t="shared" si="2"/>
        <v>0</v>
      </c>
    </row>
    <row r="113" spans="1:10" s="28" customFormat="1" ht="12.75" hidden="1">
      <c r="A113" s="87" t="s">
        <v>6</v>
      </c>
      <c r="B113" s="27" t="s">
        <v>145</v>
      </c>
      <c r="C113" s="27" t="s">
        <v>82</v>
      </c>
      <c r="D113" s="27" t="s">
        <v>178</v>
      </c>
      <c r="E113" s="27" t="s">
        <v>7</v>
      </c>
      <c r="F113" s="27"/>
      <c r="G113" s="201"/>
      <c r="H113" s="201"/>
      <c r="I113" s="202"/>
      <c r="J113" s="192">
        <f t="shared" si="2"/>
        <v>0</v>
      </c>
    </row>
    <row r="114" spans="1:10" s="28" customFormat="1" ht="12.75" hidden="1">
      <c r="A114" s="87" t="s">
        <v>13</v>
      </c>
      <c r="B114" s="27" t="s">
        <v>145</v>
      </c>
      <c r="C114" s="27" t="s">
        <v>82</v>
      </c>
      <c r="D114" s="27" t="s">
        <v>178</v>
      </c>
      <c r="E114" s="27" t="s">
        <v>14</v>
      </c>
      <c r="F114" s="27"/>
      <c r="G114" s="201"/>
      <c r="H114" s="201"/>
      <c r="I114" s="202"/>
      <c r="J114" s="192">
        <f t="shared" si="2"/>
        <v>0</v>
      </c>
    </row>
    <row r="115" spans="1:10" s="30" customFormat="1" ht="25.5" hidden="1">
      <c r="A115" s="81" t="s">
        <v>179</v>
      </c>
      <c r="B115" s="82" t="s">
        <v>145</v>
      </c>
      <c r="C115" s="82" t="s">
        <v>82</v>
      </c>
      <c r="D115" s="82" t="s">
        <v>180</v>
      </c>
      <c r="E115" s="82" t="s">
        <v>2</v>
      </c>
      <c r="F115" s="82"/>
      <c r="G115" s="212"/>
      <c r="H115" s="212"/>
      <c r="I115" s="205"/>
      <c r="J115" s="192">
        <f t="shared" si="2"/>
        <v>0</v>
      </c>
    </row>
    <row r="116" spans="1:10" s="84" customFormat="1" ht="12.75" customHeight="1" hidden="1">
      <c r="A116" s="10" t="s">
        <v>4</v>
      </c>
      <c r="B116" s="14" t="s">
        <v>145</v>
      </c>
      <c r="C116" s="14" t="s">
        <v>82</v>
      </c>
      <c r="D116" s="14" t="s">
        <v>180</v>
      </c>
      <c r="E116" s="14" t="s">
        <v>5</v>
      </c>
      <c r="F116" s="70"/>
      <c r="G116" s="216"/>
      <c r="H116" s="216"/>
      <c r="I116" s="205"/>
      <c r="J116" s="192">
        <f t="shared" si="2"/>
        <v>0</v>
      </c>
    </row>
    <row r="117" spans="1:10" s="92" customFormat="1" ht="12.75" hidden="1">
      <c r="A117" s="87" t="s">
        <v>6</v>
      </c>
      <c r="B117" s="27" t="s">
        <v>145</v>
      </c>
      <c r="C117" s="27" t="s">
        <v>82</v>
      </c>
      <c r="D117" s="27" t="s">
        <v>180</v>
      </c>
      <c r="E117" s="27" t="s">
        <v>7</v>
      </c>
      <c r="F117" s="88"/>
      <c r="G117" s="209"/>
      <c r="H117" s="209"/>
      <c r="I117" s="202"/>
      <c r="J117" s="192">
        <f t="shared" si="2"/>
        <v>0</v>
      </c>
    </row>
    <row r="118" spans="1:10" s="92" customFormat="1" ht="12.75" hidden="1">
      <c r="A118" s="87" t="s">
        <v>13</v>
      </c>
      <c r="B118" s="27" t="s">
        <v>145</v>
      </c>
      <c r="C118" s="27" t="s">
        <v>82</v>
      </c>
      <c r="D118" s="27" t="s">
        <v>180</v>
      </c>
      <c r="E118" s="27" t="s">
        <v>14</v>
      </c>
      <c r="F118" s="88"/>
      <c r="G118" s="209"/>
      <c r="H118" s="209"/>
      <c r="I118" s="202"/>
      <c r="J118" s="192">
        <f t="shared" si="2"/>
        <v>0</v>
      </c>
    </row>
    <row r="119" spans="1:10" s="84" customFormat="1" ht="12.75" hidden="1">
      <c r="A119" s="47" t="s">
        <v>174</v>
      </c>
      <c r="B119" s="48" t="s">
        <v>145</v>
      </c>
      <c r="C119" s="48" t="s">
        <v>82</v>
      </c>
      <c r="D119" s="48" t="s">
        <v>175</v>
      </c>
      <c r="E119" s="48" t="s">
        <v>2</v>
      </c>
      <c r="F119" s="82"/>
      <c r="G119" s="216"/>
      <c r="H119" s="216"/>
      <c r="I119" s="205"/>
      <c r="J119" s="192">
        <f t="shared" si="2"/>
        <v>0</v>
      </c>
    </row>
    <row r="120" spans="1:10" s="45" customFormat="1" ht="12.75" customHeight="1" hidden="1">
      <c r="A120" s="43" t="s">
        <v>4</v>
      </c>
      <c r="B120" s="14" t="s">
        <v>145</v>
      </c>
      <c r="C120" s="14" t="s">
        <v>82</v>
      </c>
      <c r="D120" s="14" t="s">
        <v>175</v>
      </c>
      <c r="E120" s="44" t="s">
        <v>5</v>
      </c>
      <c r="F120" s="44"/>
      <c r="G120" s="197"/>
      <c r="H120" s="197"/>
      <c r="I120" s="198"/>
      <c r="J120" s="192">
        <f t="shared" si="2"/>
        <v>0</v>
      </c>
    </row>
    <row r="121" spans="1:10" s="28" customFormat="1" ht="12.75" hidden="1">
      <c r="A121" s="87" t="s">
        <v>6</v>
      </c>
      <c r="B121" s="27" t="s">
        <v>145</v>
      </c>
      <c r="C121" s="27" t="s">
        <v>82</v>
      </c>
      <c r="D121" s="27" t="s">
        <v>175</v>
      </c>
      <c r="E121" s="27" t="s">
        <v>7</v>
      </c>
      <c r="F121" s="27"/>
      <c r="G121" s="201"/>
      <c r="H121" s="201"/>
      <c r="I121" s="202"/>
      <c r="J121" s="192">
        <f t="shared" si="2"/>
        <v>0</v>
      </c>
    </row>
    <row r="122" spans="1:10" s="28" customFormat="1" ht="12.75" hidden="1">
      <c r="A122" s="87" t="s">
        <v>8</v>
      </c>
      <c r="B122" s="27" t="s">
        <v>145</v>
      </c>
      <c r="C122" s="27" t="s">
        <v>82</v>
      </c>
      <c r="D122" s="27" t="s">
        <v>175</v>
      </c>
      <c r="E122" s="27" t="s">
        <v>9</v>
      </c>
      <c r="F122" s="27"/>
      <c r="G122" s="201"/>
      <c r="H122" s="201"/>
      <c r="I122" s="202"/>
      <c r="J122" s="192">
        <f t="shared" si="2"/>
        <v>0</v>
      </c>
    </row>
    <row r="123" spans="1:10" ht="25.5" hidden="1">
      <c r="A123" s="11" t="s">
        <v>10</v>
      </c>
      <c r="B123" s="4"/>
      <c r="C123" s="4"/>
      <c r="D123" s="4"/>
      <c r="E123" s="4"/>
      <c r="F123" s="4" t="s">
        <v>183</v>
      </c>
      <c r="G123" s="200"/>
      <c r="H123" s="200"/>
      <c r="I123" s="199"/>
      <c r="J123" s="192">
        <f t="shared" si="2"/>
        <v>0</v>
      </c>
    </row>
    <row r="124" spans="1:10" ht="12.75" customHeight="1" hidden="1">
      <c r="A124" s="12" t="s">
        <v>11</v>
      </c>
      <c r="B124" s="4"/>
      <c r="C124" s="4"/>
      <c r="D124" s="4"/>
      <c r="E124" s="4"/>
      <c r="F124" s="4" t="s">
        <v>200</v>
      </c>
      <c r="G124" s="200"/>
      <c r="H124" s="200"/>
      <c r="I124" s="199"/>
      <c r="J124" s="192">
        <f t="shared" si="2"/>
        <v>0</v>
      </c>
    </row>
    <row r="125" spans="1:10" ht="26.25" customHeight="1" hidden="1">
      <c r="A125" s="6" t="s">
        <v>12</v>
      </c>
      <c r="B125" s="4"/>
      <c r="C125" s="4"/>
      <c r="D125" s="4"/>
      <c r="E125" s="4"/>
      <c r="F125" s="4" t="s">
        <v>184</v>
      </c>
      <c r="G125" s="200"/>
      <c r="H125" s="200"/>
      <c r="I125" s="199"/>
      <c r="J125" s="192">
        <f t="shared" si="2"/>
        <v>0</v>
      </c>
    </row>
    <row r="126" spans="1:10" s="28" customFormat="1" ht="12.75" hidden="1">
      <c r="A126" s="87" t="s">
        <v>13</v>
      </c>
      <c r="B126" s="27" t="s">
        <v>145</v>
      </c>
      <c r="C126" s="27" t="s">
        <v>82</v>
      </c>
      <c r="D126" s="27" t="s">
        <v>175</v>
      </c>
      <c r="E126" s="27" t="s">
        <v>14</v>
      </c>
      <c r="F126" s="27"/>
      <c r="G126" s="201"/>
      <c r="H126" s="201"/>
      <c r="I126" s="202"/>
      <c r="J126" s="192">
        <f t="shared" si="2"/>
        <v>0</v>
      </c>
    </row>
    <row r="127" spans="1:10" s="45" customFormat="1" ht="12.75" hidden="1">
      <c r="A127" s="43" t="s">
        <v>15</v>
      </c>
      <c r="B127" s="44" t="s">
        <v>145</v>
      </c>
      <c r="C127" s="44" t="s">
        <v>82</v>
      </c>
      <c r="D127" s="44" t="s">
        <v>175</v>
      </c>
      <c r="E127" s="44" t="s">
        <v>16</v>
      </c>
      <c r="F127" s="44"/>
      <c r="G127" s="197"/>
      <c r="H127" s="197"/>
      <c r="I127" s="198"/>
      <c r="J127" s="192">
        <f t="shared" si="2"/>
        <v>0</v>
      </c>
    </row>
    <row r="128" spans="1:10" s="28" customFormat="1" ht="12.75" hidden="1">
      <c r="A128" s="87" t="s">
        <v>17</v>
      </c>
      <c r="B128" s="27" t="s">
        <v>145</v>
      </c>
      <c r="C128" s="27" t="s">
        <v>82</v>
      </c>
      <c r="D128" s="27" t="s">
        <v>175</v>
      </c>
      <c r="E128" s="27" t="s">
        <v>18</v>
      </c>
      <c r="F128" s="27"/>
      <c r="G128" s="201"/>
      <c r="H128" s="201"/>
      <c r="I128" s="202"/>
      <c r="J128" s="192">
        <f t="shared" si="2"/>
        <v>0</v>
      </c>
    </row>
    <row r="129" spans="1:10" s="28" customFormat="1" ht="12.75" hidden="1">
      <c r="A129" s="87" t="s">
        <v>21</v>
      </c>
      <c r="B129" s="27" t="s">
        <v>145</v>
      </c>
      <c r="C129" s="27" t="s">
        <v>82</v>
      </c>
      <c r="D129" s="27" t="s">
        <v>175</v>
      </c>
      <c r="E129" s="27" t="s">
        <v>19</v>
      </c>
      <c r="F129" s="27"/>
      <c r="G129" s="201"/>
      <c r="H129" s="201"/>
      <c r="I129" s="202"/>
      <c r="J129" s="192">
        <f t="shared" si="2"/>
        <v>0</v>
      </c>
    </row>
    <row r="130" spans="1:10" ht="25.5" hidden="1">
      <c r="A130" s="11" t="s">
        <v>20</v>
      </c>
      <c r="B130" s="4"/>
      <c r="C130" s="4"/>
      <c r="D130" s="4"/>
      <c r="E130" s="4"/>
      <c r="F130" s="4" t="s">
        <v>183</v>
      </c>
      <c r="G130" s="200"/>
      <c r="H130" s="200"/>
      <c r="I130" s="199"/>
      <c r="J130" s="192">
        <f t="shared" si="2"/>
        <v>0</v>
      </c>
    </row>
    <row r="131" spans="1:10" ht="38.25" hidden="1">
      <c r="A131" s="8" t="s">
        <v>22</v>
      </c>
      <c r="B131" s="4"/>
      <c r="C131" s="4"/>
      <c r="D131" s="4"/>
      <c r="E131" s="4"/>
      <c r="F131" s="4" t="s">
        <v>185</v>
      </c>
      <c r="G131" s="200"/>
      <c r="H131" s="200"/>
      <c r="I131" s="199"/>
      <c r="J131" s="192">
        <f t="shared" si="2"/>
        <v>0</v>
      </c>
    </row>
    <row r="132" spans="1:10" s="28" customFormat="1" ht="12.75" hidden="1">
      <c r="A132" s="87" t="s">
        <v>23</v>
      </c>
      <c r="B132" s="27" t="s">
        <v>145</v>
      </c>
      <c r="C132" s="27" t="s">
        <v>82</v>
      </c>
      <c r="D132" s="27" t="s">
        <v>175</v>
      </c>
      <c r="E132" s="27" t="s">
        <v>24</v>
      </c>
      <c r="F132" s="27"/>
      <c r="G132" s="201"/>
      <c r="H132" s="201"/>
      <c r="I132" s="202"/>
      <c r="J132" s="192">
        <f t="shared" si="2"/>
        <v>0</v>
      </c>
    </row>
    <row r="133" spans="1:10" ht="12.75" customHeight="1" hidden="1">
      <c r="A133" s="7" t="s">
        <v>25</v>
      </c>
      <c r="B133" s="4"/>
      <c r="C133" s="4"/>
      <c r="D133" s="4"/>
      <c r="E133" s="4"/>
      <c r="F133" s="4" t="s">
        <v>186</v>
      </c>
      <c r="G133" s="200"/>
      <c r="H133" s="200"/>
      <c r="I133" s="199"/>
      <c r="J133" s="192">
        <f t="shared" si="2"/>
        <v>0</v>
      </c>
    </row>
    <row r="134" spans="1:10" ht="12.75" customHeight="1" hidden="1">
      <c r="A134" s="7" t="s">
        <v>26</v>
      </c>
      <c r="B134" s="4"/>
      <c r="C134" s="4"/>
      <c r="D134" s="4"/>
      <c r="E134" s="4"/>
      <c r="F134" s="4" t="s">
        <v>187</v>
      </c>
      <c r="G134" s="200"/>
      <c r="H134" s="200"/>
      <c r="I134" s="199"/>
      <c r="J134" s="192">
        <f t="shared" si="2"/>
        <v>0</v>
      </c>
    </row>
    <row r="135" spans="1:10" ht="12.75" hidden="1">
      <c r="A135" s="7" t="s">
        <v>27</v>
      </c>
      <c r="B135" s="4"/>
      <c r="C135" s="4"/>
      <c r="D135" s="4"/>
      <c r="E135" s="4"/>
      <c r="F135" s="4" t="s">
        <v>188</v>
      </c>
      <c r="G135" s="200"/>
      <c r="H135" s="200"/>
      <c r="I135" s="199"/>
      <c r="J135" s="192">
        <f t="shared" si="2"/>
        <v>0</v>
      </c>
    </row>
    <row r="136" spans="1:10" s="28" customFormat="1" ht="15" customHeight="1" hidden="1">
      <c r="A136" s="87" t="s">
        <v>28</v>
      </c>
      <c r="B136" s="27" t="s">
        <v>145</v>
      </c>
      <c r="C136" s="27" t="s">
        <v>82</v>
      </c>
      <c r="D136" s="27" t="s">
        <v>175</v>
      </c>
      <c r="E136" s="27" t="s">
        <v>29</v>
      </c>
      <c r="F136" s="27"/>
      <c r="G136" s="201"/>
      <c r="H136" s="201"/>
      <c r="I136" s="202"/>
      <c r="J136" s="192">
        <f t="shared" si="2"/>
        <v>0</v>
      </c>
    </row>
    <row r="137" spans="1:10" s="28" customFormat="1" ht="12.75" hidden="1">
      <c r="A137" s="87" t="s">
        <v>30</v>
      </c>
      <c r="B137" s="27" t="s">
        <v>145</v>
      </c>
      <c r="C137" s="27" t="s">
        <v>82</v>
      </c>
      <c r="D137" s="27" t="s">
        <v>175</v>
      </c>
      <c r="E137" s="27" t="s">
        <v>31</v>
      </c>
      <c r="F137" s="27"/>
      <c r="G137" s="201"/>
      <c r="H137" s="201"/>
      <c r="I137" s="202"/>
      <c r="J137" s="192">
        <f t="shared" si="2"/>
        <v>0</v>
      </c>
    </row>
    <row r="138" spans="1:10" s="30" customFormat="1" ht="12.75" hidden="1">
      <c r="A138" s="7" t="s">
        <v>32</v>
      </c>
      <c r="B138" s="29"/>
      <c r="C138" s="29"/>
      <c r="D138" s="29"/>
      <c r="E138" s="29"/>
      <c r="F138" s="17" t="s">
        <v>189</v>
      </c>
      <c r="G138" s="212"/>
      <c r="H138" s="212"/>
      <c r="I138" s="205"/>
      <c r="J138" s="192">
        <f t="shared" si="2"/>
        <v>0</v>
      </c>
    </row>
    <row r="139" spans="1:10" s="18" customFormat="1" ht="12.75" hidden="1">
      <c r="A139" s="7" t="s">
        <v>33</v>
      </c>
      <c r="B139" s="17"/>
      <c r="C139" s="17"/>
      <c r="D139" s="17"/>
      <c r="E139" s="17"/>
      <c r="F139" s="17" t="s">
        <v>191</v>
      </c>
      <c r="G139" s="186"/>
      <c r="H139" s="186"/>
      <c r="I139" s="213"/>
      <c r="J139" s="192">
        <f aca="true" t="shared" si="3" ref="J139:J200">H139-I139</f>
        <v>0</v>
      </c>
    </row>
    <row r="140" spans="1:10" s="18" customFormat="1" ht="25.5" hidden="1">
      <c r="A140" s="7" t="s">
        <v>34</v>
      </c>
      <c r="B140" s="17"/>
      <c r="C140" s="17"/>
      <c r="D140" s="17"/>
      <c r="E140" s="17"/>
      <c r="F140" s="17" t="s">
        <v>221</v>
      </c>
      <c r="G140" s="186"/>
      <c r="H140" s="186"/>
      <c r="I140" s="213"/>
      <c r="J140" s="192">
        <f t="shared" si="3"/>
        <v>0</v>
      </c>
    </row>
    <row r="141" spans="1:10" s="18" customFormat="1" ht="25.5" hidden="1">
      <c r="A141" s="7" t="s">
        <v>35</v>
      </c>
      <c r="B141" s="17"/>
      <c r="C141" s="17"/>
      <c r="D141" s="17"/>
      <c r="E141" s="17"/>
      <c r="F141" s="17" t="s">
        <v>190</v>
      </c>
      <c r="G141" s="186"/>
      <c r="H141" s="186"/>
      <c r="I141" s="213"/>
      <c r="J141" s="192">
        <f t="shared" si="3"/>
        <v>0</v>
      </c>
    </row>
    <row r="142" spans="1:10" s="18" customFormat="1" ht="51" hidden="1">
      <c r="A142" s="7" t="s">
        <v>36</v>
      </c>
      <c r="B142" s="17"/>
      <c r="C142" s="17"/>
      <c r="D142" s="17"/>
      <c r="E142" s="17"/>
      <c r="F142" s="17" t="s">
        <v>224</v>
      </c>
      <c r="G142" s="186"/>
      <c r="H142" s="186"/>
      <c r="I142" s="213"/>
      <c r="J142" s="192">
        <f t="shared" si="3"/>
        <v>0</v>
      </c>
    </row>
    <row r="143" spans="1:10" s="28" customFormat="1" ht="12.75" hidden="1">
      <c r="A143" s="87" t="s">
        <v>37</v>
      </c>
      <c r="B143" s="27" t="s">
        <v>145</v>
      </c>
      <c r="C143" s="27" t="s">
        <v>82</v>
      </c>
      <c r="D143" s="27" t="s">
        <v>175</v>
      </c>
      <c r="E143" s="27" t="s">
        <v>38</v>
      </c>
      <c r="F143" s="27"/>
      <c r="G143" s="201"/>
      <c r="H143" s="201"/>
      <c r="I143" s="202"/>
      <c r="J143" s="192">
        <f t="shared" si="3"/>
        <v>0</v>
      </c>
    </row>
    <row r="144" spans="1:10" s="21" customFormat="1" ht="38.25" hidden="1">
      <c r="A144" s="11" t="s">
        <v>39</v>
      </c>
      <c r="B144" s="20"/>
      <c r="C144" s="20"/>
      <c r="D144" s="20"/>
      <c r="E144" s="20"/>
      <c r="F144" s="20" t="s">
        <v>183</v>
      </c>
      <c r="G144" s="214"/>
      <c r="H144" s="214"/>
      <c r="I144" s="215"/>
      <c r="J144" s="192">
        <f t="shared" si="3"/>
        <v>0</v>
      </c>
    </row>
    <row r="145" spans="1:10" s="21" customFormat="1" ht="38.25" hidden="1">
      <c r="A145" s="19" t="s">
        <v>40</v>
      </c>
      <c r="B145" s="20"/>
      <c r="C145" s="20"/>
      <c r="D145" s="20"/>
      <c r="E145" s="20"/>
      <c r="F145" s="20" t="s">
        <v>222</v>
      </c>
      <c r="G145" s="214"/>
      <c r="H145" s="214"/>
      <c r="I145" s="215"/>
      <c r="J145" s="192">
        <f t="shared" si="3"/>
        <v>0</v>
      </c>
    </row>
    <row r="146" spans="1:10" s="21" customFormat="1" ht="25.5" customHeight="1" hidden="1">
      <c r="A146" s="12" t="s">
        <v>41</v>
      </c>
      <c r="B146" s="20"/>
      <c r="C146" s="20"/>
      <c r="D146" s="20"/>
      <c r="E146" s="20"/>
      <c r="F146" s="20" t="s">
        <v>192</v>
      </c>
      <c r="G146" s="214"/>
      <c r="H146" s="214"/>
      <c r="I146" s="215"/>
      <c r="J146" s="192">
        <f t="shared" si="3"/>
        <v>0</v>
      </c>
    </row>
    <row r="147" spans="1:10" s="45" customFormat="1" ht="12.75" hidden="1">
      <c r="A147" s="43" t="s">
        <v>42</v>
      </c>
      <c r="B147" s="44" t="s">
        <v>145</v>
      </c>
      <c r="C147" s="44" t="s">
        <v>82</v>
      </c>
      <c r="D147" s="44" t="s">
        <v>175</v>
      </c>
      <c r="E147" s="44" t="s">
        <v>43</v>
      </c>
      <c r="F147" s="44"/>
      <c r="G147" s="197"/>
      <c r="H147" s="197"/>
      <c r="I147" s="198"/>
      <c r="J147" s="192">
        <f t="shared" si="3"/>
        <v>0</v>
      </c>
    </row>
    <row r="148" spans="1:10" s="28" customFormat="1" ht="12.75" hidden="1">
      <c r="A148" s="87" t="s">
        <v>44</v>
      </c>
      <c r="B148" s="27" t="s">
        <v>145</v>
      </c>
      <c r="C148" s="27" t="s">
        <v>82</v>
      </c>
      <c r="D148" s="27" t="s">
        <v>175</v>
      </c>
      <c r="E148" s="27" t="s">
        <v>45</v>
      </c>
      <c r="F148" s="27"/>
      <c r="G148" s="201"/>
      <c r="H148" s="201"/>
      <c r="I148" s="202"/>
      <c r="J148" s="192">
        <f t="shared" si="3"/>
        <v>0</v>
      </c>
    </row>
    <row r="149" spans="1:10" s="21" customFormat="1" ht="12.75" hidden="1">
      <c r="A149" s="6" t="s">
        <v>46</v>
      </c>
      <c r="B149" s="20"/>
      <c r="C149" s="20"/>
      <c r="D149" s="20"/>
      <c r="E149" s="20"/>
      <c r="F149" s="20"/>
      <c r="G149" s="214"/>
      <c r="H149" s="214"/>
      <c r="I149" s="215"/>
      <c r="J149" s="192">
        <f t="shared" si="3"/>
        <v>0</v>
      </c>
    </row>
    <row r="150" spans="1:10" s="45" customFormat="1" ht="12.75" hidden="1">
      <c r="A150" s="43" t="s">
        <v>47</v>
      </c>
      <c r="B150" s="44" t="s">
        <v>145</v>
      </c>
      <c r="C150" s="44" t="s">
        <v>82</v>
      </c>
      <c r="D150" s="44" t="s">
        <v>175</v>
      </c>
      <c r="E150" s="44" t="s">
        <v>48</v>
      </c>
      <c r="F150" s="44"/>
      <c r="G150" s="197"/>
      <c r="H150" s="197"/>
      <c r="I150" s="198"/>
      <c r="J150" s="192">
        <f t="shared" si="3"/>
        <v>0</v>
      </c>
    </row>
    <row r="151" spans="1:10" s="21" customFormat="1" ht="27.75" customHeight="1" hidden="1">
      <c r="A151" s="12" t="s">
        <v>41</v>
      </c>
      <c r="B151" s="20"/>
      <c r="C151" s="20"/>
      <c r="D151" s="20"/>
      <c r="E151" s="20"/>
      <c r="F151" s="20"/>
      <c r="G151" s="214"/>
      <c r="H151" s="214"/>
      <c r="I151" s="215"/>
      <c r="J151" s="192">
        <f t="shared" si="3"/>
        <v>0</v>
      </c>
    </row>
    <row r="152" spans="1:10" s="45" customFormat="1" ht="12.75" hidden="1">
      <c r="A152" s="43" t="s">
        <v>49</v>
      </c>
      <c r="B152" s="44" t="s">
        <v>145</v>
      </c>
      <c r="C152" s="44" t="s">
        <v>82</v>
      </c>
      <c r="D152" s="44" t="s">
        <v>175</v>
      </c>
      <c r="E152" s="44" t="s">
        <v>50</v>
      </c>
      <c r="F152" s="44"/>
      <c r="G152" s="197"/>
      <c r="H152" s="197"/>
      <c r="I152" s="198"/>
      <c r="J152" s="192">
        <f t="shared" si="3"/>
        <v>0</v>
      </c>
    </row>
    <row r="153" spans="1:10" s="28" customFormat="1" ht="12.75" hidden="1">
      <c r="A153" s="87" t="s">
        <v>51</v>
      </c>
      <c r="B153" s="27" t="s">
        <v>145</v>
      </c>
      <c r="C153" s="27" t="s">
        <v>82</v>
      </c>
      <c r="D153" s="27" t="s">
        <v>175</v>
      </c>
      <c r="E153" s="27" t="s">
        <v>52</v>
      </c>
      <c r="F153" s="27"/>
      <c r="G153" s="201"/>
      <c r="H153" s="201"/>
      <c r="I153" s="202"/>
      <c r="J153" s="192">
        <f t="shared" si="3"/>
        <v>0</v>
      </c>
    </row>
    <row r="154" spans="1:10" s="21" customFormat="1" ht="12.75" hidden="1">
      <c r="A154" s="7" t="s">
        <v>53</v>
      </c>
      <c r="B154" s="20"/>
      <c r="C154" s="20"/>
      <c r="D154" s="20"/>
      <c r="E154" s="20"/>
      <c r="F154" s="20" t="s">
        <v>223</v>
      </c>
      <c r="G154" s="214"/>
      <c r="H154" s="214"/>
      <c r="I154" s="215"/>
      <c r="J154" s="192">
        <f t="shared" si="3"/>
        <v>0</v>
      </c>
    </row>
    <row r="155" spans="1:10" s="21" customFormat="1" ht="38.25" customHeight="1" hidden="1">
      <c r="A155" s="7" t="s">
        <v>54</v>
      </c>
      <c r="B155" s="20"/>
      <c r="C155" s="20"/>
      <c r="D155" s="20"/>
      <c r="E155" s="20"/>
      <c r="F155" s="20" t="s">
        <v>194</v>
      </c>
      <c r="G155" s="214"/>
      <c r="H155" s="214"/>
      <c r="I155" s="215"/>
      <c r="J155" s="192">
        <f t="shared" si="3"/>
        <v>0</v>
      </c>
    </row>
    <row r="156" spans="1:10" s="21" customFormat="1" ht="53.25" customHeight="1" hidden="1">
      <c r="A156" s="7" t="s">
        <v>55</v>
      </c>
      <c r="B156" s="20"/>
      <c r="C156" s="20"/>
      <c r="D156" s="20"/>
      <c r="E156" s="20"/>
      <c r="F156" s="20" t="s">
        <v>193</v>
      </c>
      <c r="G156" s="214"/>
      <c r="H156" s="214"/>
      <c r="I156" s="215"/>
      <c r="J156" s="192">
        <f t="shared" si="3"/>
        <v>0</v>
      </c>
    </row>
    <row r="157" spans="1:10" s="28" customFormat="1" ht="16.5" customHeight="1" hidden="1">
      <c r="A157" s="87" t="s">
        <v>56</v>
      </c>
      <c r="B157" s="27" t="s">
        <v>145</v>
      </c>
      <c r="C157" s="27" t="s">
        <v>82</v>
      </c>
      <c r="D157" s="27" t="s">
        <v>175</v>
      </c>
      <c r="E157" s="27" t="s">
        <v>57</v>
      </c>
      <c r="F157" s="27"/>
      <c r="G157" s="201"/>
      <c r="H157" s="201"/>
      <c r="I157" s="202"/>
      <c r="J157" s="192">
        <f t="shared" si="3"/>
        <v>0</v>
      </c>
    </row>
    <row r="158" spans="1:10" s="21" customFormat="1" ht="25.5" hidden="1">
      <c r="A158" s="7" t="s">
        <v>58</v>
      </c>
      <c r="B158" s="20"/>
      <c r="C158" s="20"/>
      <c r="D158" s="20"/>
      <c r="E158" s="20"/>
      <c r="F158" s="20" t="s">
        <v>195</v>
      </c>
      <c r="G158" s="214"/>
      <c r="H158" s="214"/>
      <c r="I158" s="215"/>
      <c r="J158" s="192">
        <f t="shared" si="3"/>
        <v>0</v>
      </c>
    </row>
    <row r="159" spans="1:10" s="21" customFormat="1" ht="12.75" hidden="1">
      <c r="A159" s="7" t="s">
        <v>59</v>
      </c>
      <c r="B159" s="20"/>
      <c r="C159" s="20"/>
      <c r="D159" s="20"/>
      <c r="E159" s="20"/>
      <c r="F159" s="20" t="s">
        <v>196</v>
      </c>
      <c r="G159" s="214"/>
      <c r="H159" s="214"/>
      <c r="I159" s="215"/>
      <c r="J159" s="192">
        <f t="shared" si="3"/>
        <v>0</v>
      </c>
    </row>
    <row r="160" spans="1:10" s="21" customFormat="1" ht="12.75" hidden="1">
      <c r="A160" s="7" t="s">
        <v>60</v>
      </c>
      <c r="B160" s="20"/>
      <c r="C160" s="20"/>
      <c r="D160" s="20"/>
      <c r="E160" s="20"/>
      <c r="F160" s="20" t="s">
        <v>197</v>
      </c>
      <c r="G160" s="214"/>
      <c r="H160" s="214"/>
      <c r="I160" s="215"/>
      <c r="J160" s="192">
        <f t="shared" si="3"/>
        <v>0</v>
      </c>
    </row>
    <row r="161" spans="1:10" s="21" customFormat="1" ht="39" customHeight="1" hidden="1">
      <c r="A161" s="7" t="s">
        <v>61</v>
      </c>
      <c r="B161" s="20"/>
      <c r="C161" s="20"/>
      <c r="D161" s="20"/>
      <c r="E161" s="20"/>
      <c r="F161" s="20" t="s">
        <v>198</v>
      </c>
      <c r="G161" s="214"/>
      <c r="H161" s="214"/>
      <c r="I161" s="215"/>
      <c r="J161" s="192">
        <f t="shared" si="3"/>
        <v>0</v>
      </c>
    </row>
    <row r="162" spans="1:10" s="21" customFormat="1" ht="22.5" customHeight="1">
      <c r="A162" s="11" t="s">
        <v>10</v>
      </c>
      <c r="B162" s="20"/>
      <c r="C162" s="20"/>
      <c r="D162" s="20"/>
      <c r="E162" s="20"/>
      <c r="F162" s="20" t="s">
        <v>371</v>
      </c>
      <c r="G162" s="214">
        <v>6630</v>
      </c>
      <c r="H162" s="214">
        <v>2210</v>
      </c>
      <c r="I162" s="215">
        <f>1360</f>
        <v>1360</v>
      </c>
      <c r="J162" s="192">
        <f t="shared" si="3"/>
        <v>850</v>
      </c>
    </row>
    <row r="163" spans="1:10" s="21" customFormat="1" ht="15" customHeight="1">
      <c r="A163" s="12" t="s">
        <v>343</v>
      </c>
      <c r="B163" s="20"/>
      <c r="C163" s="20"/>
      <c r="D163" s="20"/>
      <c r="E163" s="20"/>
      <c r="F163" s="20"/>
      <c r="G163" s="214"/>
      <c r="H163" s="214">
        <v>0</v>
      </c>
      <c r="I163" s="215"/>
      <c r="J163" s="192">
        <f t="shared" si="3"/>
        <v>0</v>
      </c>
    </row>
    <row r="164" spans="1:10" s="21" customFormat="1" ht="24.75" customHeight="1">
      <c r="A164" s="6" t="s">
        <v>12</v>
      </c>
      <c r="B164" s="20"/>
      <c r="C164" s="20"/>
      <c r="D164" s="20"/>
      <c r="E164" s="20"/>
      <c r="F164" s="20" t="s">
        <v>370</v>
      </c>
      <c r="G164" s="214">
        <v>45000</v>
      </c>
      <c r="H164" s="214">
        <v>45000</v>
      </c>
      <c r="I164" s="215"/>
      <c r="J164" s="192">
        <f t="shared" si="3"/>
        <v>45000</v>
      </c>
    </row>
    <row r="165" spans="1:10" s="21" customFormat="1" ht="14.25" customHeight="1">
      <c r="A165" s="87" t="s">
        <v>13</v>
      </c>
      <c r="B165" s="20" t="s">
        <v>145</v>
      </c>
      <c r="C165" s="20" t="s">
        <v>232</v>
      </c>
      <c r="D165" s="20" t="s">
        <v>175</v>
      </c>
      <c r="E165" s="4" t="s">
        <v>14</v>
      </c>
      <c r="F165" s="20" t="s">
        <v>369</v>
      </c>
      <c r="G165" s="214"/>
      <c r="H165" s="214">
        <v>0</v>
      </c>
      <c r="I165" s="215"/>
      <c r="J165" s="192">
        <f t="shared" si="3"/>
        <v>0</v>
      </c>
    </row>
    <row r="166" spans="1:10" s="21" customFormat="1" ht="17.25" customHeight="1">
      <c r="A166" s="43" t="s">
        <v>15</v>
      </c>
      <c r="B166" s="14" t="s">
        <v>145</v>
      </c>
      <c r="C166" s="14" t="s">
        <v>232</v>
      </c>
      <c r="D166" s="14" t="s">
        <v>175</v>
      </c>
      <c r="E166" s="14" t="s">
        <v>16</v>
      </c>
      <c r="F166" s="20"/>
      <c r="G166" s="211">
        <f>G167+G168+G171+G175+G176+G182</f>
        <v>149000</v>
      </c>
      <c r="H166" s="211">
        <f>H167+H168+H171+H175+H176+H182</f>
        <v>47630</v>
      </c>
      <c r="I166" s="211">
        <f>I167+I168+I171+I175+I176+I182</f>
        <v>35130</v>
      </c>
      <c r="J166" s="211">
        <f>J167+J168+J171+J175+J176+J182</f>
        <v>12500</v>
      </c>
    </row>
    <row r="167" spans="1:10" s="21" customFormat="1" ht="12.75" customHeight="1">
      <c r="A167" s="87" t="s">
        <v>341</v>
      </c>
      <c r="B167" s="20" t="s">
        <v>145</v>
      </c>
      <c r="C167" s="20" t="s">
        <v>232</v>
      </c>
      <c r="D167" s="20" t="s">
        <v>175</v>
      </c>
      <c r="E167" s="20" t="s">
        <v>18</v>
      </c>
      <c r="F167" s="20" t="s">
        <v>369</v>
      </c>
      <c r="G167" s="214"/>
      <c r="H167" s="214">
        <v>0</v>
      </c>
      <c r="I167" s="215"/>
      <c r="J167" s="192">
        <f t="shared" si="3"/>
        <v>0</v>
      </c>
    </row>
    <row r="168" spans="1:10" s="21" customFormat="1" ht="21" customHeight="1">
      <c r="A168" s="87" t="s">
        <v>21</v>
      </c>
      <c r="B168" s="20" t="s">
        <v>145</v>
      </c>
      <c r="C168" s="20" t="s">
        <v>232</v>
      </c>
      <c r="D168" s="20" t="s">
        <v>175</v>
      </c>
      <c r="E168" s="20" t="s">
        <v>19</v>
      </c>
      <c r="F168" s="20"/>
      <c r="G168" s="214">
        <f>G169+G170</f>
        <v>67000</v>
      </c>
      <c r="H168" s="214">
        <f>H169+H170</f>
        <v>22630</v>
      </c>
      <c r="I168" s="214">
        <f>I169+I170</f>
        <v>22630</v>
      </c>
      <c r="J168" s="214">
        <f>J169+J170</f>
        <v>0</v>
      </c>
    </row>
    <row r="169" spans="1:10" s="21" customFormat="1" ht="25.5" customHeight="1">
      <c r="A169" s="11" t="s">
        <v>344</v>
      </c>
      <c r="B169" s="20"/>
      <c r="C169" s="20"/>
      <c r="D169" s="20"/>
      <c r="E169" s="20"/>
      <c r="F169" s="20" t="s">
        <v>372</v>
      </c>
      <c r="G169" s="214">
        <v>67000</v>
      </c>
      <c r="H169" s="214">
        <f>22630</f>
        <v>22630</v>
      </c>
      <c r="I169" s="215">
        <v>22630</v>
      </c>
      <c r="J169" s="192">
        <f t="shared" si="3"/>
        <v>0</v>
      </c>
    </row>
    <row r="170" spans="1:10" s="21" customFormat="1" ht="23.25" customHeight="1">
      <c r="A170" s="8" t="s">
        <v>22</v>
      </c>
      <c r="B170" s="20"/>
      <c r="C170" s="20"/>
      <c r="D170" s="20"/>
      <c r="E170" s="20"/>
      <c r="F170" s="20" t="s">
        <v>374</v>
      </c>
      <c r="G170" s="214"/>
      <c r="H170" s="214">
        <v>0</v>
      </c>
      <c r="I170" s="215"/>
      <c r="J170" s="192">
        <f t="shared" si="3"/>
        <v>0</v>
      </c>
    </row>
    <row r="171" spans="1:10" s="21" customFormat="1" ht="15.75" customHeight="1">
      <c r="A171" s="87" t="s">
        <v>23</v>
      </c>
      <c r="B171" s="20" t="s">
        <v>145</v>
      </c>
      <c r="C171" s="20" t="s">
        <v>232</v>
      </c>
      <c r="D171" s="20" t="s">
        <v>175</v>
      </c>
      <c r="E171" s="20" t="s">
        <v>24</v>
      </c>
      <c r="F171" s="20"/>
      <c r="G171" s="214"/>
      <c r="H171" s="214"/>
      <c r="I171" s="215"/>
      <c r="J171" s="192">
        <f t="shared" si="3"/>
        <v>0</v>
      </c>
    </row>
    <row r="172" spans="1:10" s="21" customFormat="1" ht="15.75" customHeight="1">
      <c r="A172" s="7" t="s">
        <v>345</v>
      </c>
      <c r="B172" s="20"/>
      <c r="C172" s="20"/>
      <c r="D172" s="20"/>
      <c r="E172" s="20"/>
      <c r="F172" s="20" t="s">
        <v>373</v>
      </c>
      <c r="G172" s="214"/>
      <c r="H172" s="214">
        <v>0</v>
      </c>
      <c r="I172" s="215"/>
      <c r="J172" s="192">
        <f t="shared" si="3"/>
        <v>0</v>
      </c>
    </row>
    <row r="173" spans="1:10" s="21" customFormat="1" ht="16.5" customHeight="1">
      <c r="A173" s="7" t="s">
        <v>346</v>
      </c>
      <c r="B173" s="20"/>
      <c r="C173" s="20"/>
      <c r="D173" s="20"/>
      <c r="E173" s="20"/>
      <c r="F173" s="20" t="s">
        <v>375</v>
      </c>
      <c r="G173" s="214"/>
      <c r="H173" s="214">
        <v>0</v>
      </c>
      <c r="I173" s="215"/>
      <c r="J173" s="192">
        <f t="shared" si="3"/>
        <v>0</v>
      </c>
    </row>
    <row r="174" spans="1:10" s="21" customFormat="1" ht="15.75" customHeight="1">
      <c r="A174" s="7" t="s">
        <v>347</v>
      </c>
      <c r="B174" s="20"/>
      <c r="C174" s="20"/>
      <c r="D174" s="20"/>
      <c r="E174" s="20"/>
      <c r="F174" s="20" t="s">
        <v>376</v>
      </c>
      <c r="G174" s="214"/>
      <c r="H174" s="214">
        <v>0</v>
      </c>
      <c r="I174" s="215"/>
      <c r="J174" s="192">
        <f t="shared" si="3"/>
        <v>0</v>
      </c>
    </row>
    <row r="175" spans="1:10" s="21" customFormat="1" ht="15.75" customHeight="1">
      <c r="A175" s="87" t="s">
        <v>28</v>
      </c>
      <c r="B175" s="20" t="s">
        <v>145</v>
      </c>
      <c r="C175" s="20" t="s">
        <v>232</v>
      </c>
      <c r="D175" s="20" t="s">
        <v>175</v>
      </c>
      <c r="E175" s="20" t="s">
        <v>29</v>
      </c>
      <c r="F175" s="20"/>
      <c r="G175" s="214"/>
      <c r="H175" s="214">
        <v>0</v>
      </c>
      <c r="I175" s="215"/>
      <c r="J175" s="192">
        <f t="shared" si="3"/>
        <v>0</v>
      </c>
    </row>
    <row r="176" spans="1:10" s="21" customFormat="1" ht="14.25" customHeight="1">
      <c r="A176" s="87" t="s">
        <v>30</v>
      </c>
      <c r="B176" s="20"/>
      <c r="C176" s="20"/>
      <c r="D176" s="20"/>
      <c r="E176" s="20" t="s">
        <v>31</v>
      </c>
      <c r="F176" s="20"/>
      <c r="G176" s="214"/>
      <c r="H176" s="214"/>
      <c r="I176" s="215"/>
      <c r="J176" s="192">
        <f t="shared" si="3"/>
        <v>0</v>
      </c>
    </row>
    <row r="177" spans="1:10" s="21" customFormat="1" ht="12.75" customHeight="1">
      <c r="A177" s="7" t="s">
        <v>348</v>
      </c>
      <c r="B177" s="20"/>
      <c r="C177" s="20"/>
      <c r="D177" s="20"/>
      <c r="E177" s="20"/>
      <c r="F177" s="20" t="s">
        <v>377</v>
      </c>
      <c r="G177" s="214"/>
      <c r="H177" s="214">
        <v>0</v>
      </c>
      <c r="I177" s="215"/>
      <c r="J177" s="192">
        <f t="shared" si="3"/>
        <v>0</v>
      </c>
    </row>
    <row r="178" spans="1:10" s="21" customFormat="1" ht="15.75" customHeight="1">
      <c r="A178" s="7" t="s">
        <v>349</v>
      </c>
      <c r="B178" s="20"/>
      <c r="C178" s="20"/>
      <c r="D178" s="20"/>
      <c r="E178" s="20"/>
      <c r="F178" s="20" t="s">
        <v>376</v>
      </c>
      <c r="G178" s="214"/>
      <c r="H178" s="214">
        <v>0</v>
      </c>
      <c r="I178" s="215"/>
      <c r="J178" s="192">
        <f t="shared" si="3"/>
        <v>0</v>
      </c>
    </row>
    <row r="179" spans="1:10" s="21" customFormat="1" ht="24.75" customHeight="1">
      <c r="A179" s="7" t="s">
        <v>350</v>
      </c>
      <c r="B179" s="20"/>
      <c r="C179" s="20"/>
      <c r="D179" s="20"/>
      <c r="E179" s="20"/>
      <c r="F179" s="20" t="s">
        <v>379</v>
      </c>
      <c r="G179" s="214"/>
      <c r="H179" s="214">
        <v>0</v>
      </c>
      <c r="I179" s="215"/>
      <c r="J179" s="192">
        <f t="shared" si="3"/>
        <v>0</v>
      </c>
    </row>
    <row r="180" spans="1:10" s="21" customFormat="1" ht="14.25" customHeight="1">
      <c r="A180" s="7" t="s">
        <v>351</v>
      </c>
      <c r="B180" s="20"/>
      <c r="C180" s="20"/>
      <c r="D180" s="20"/>
      <c r="E180" s="20"/>
      <c r="F180" s="20" t="s">
        <v>380</v>
      </c>
      <c r="G180" s="214"/>
      <c r="H180" s="214">
        <v>0</v>
      </c>
      <c r="I180" s="215"/>
      <c r="J180" s="192">
        <f t="shared" si="3"/>
        <v>0</v>
      </c>
    </row>
    <row r="181" spans="1:10" s="21" customFormat="1" ht="24.75" customHeight="1">
      <c r="A181" s="7" t="s">
        <v>36</v>
      </c>
      <c r="B181" s="20"/>
      <c r="C181" s="20"/>
      <c r="D181" s="20"/>
      <c r="E181" s="20"/>
      <c r="F181" s="20"/>
      <c r="G181" s="214"/>
      <c r="H181" s="214"/>
      <c r="I181" s="215"/>
      <c r="J181" s="192">
        <f t="shared" si="3"/>
        <v>0</v>
      </c>
    </row>
    <row r="182" spans="1:10" s="21" customFormat="1" ht="12.75" customHeight="1">
      <c r="A182" s="87" t="s">
        <v>37</v>
      </c>
      <c r="B182" s="20" t="s">
        <v>145</v>
      </c>
      <c r="C182" s="20" t="s">
        <v>232</v>
      </c>
      <c r="D182" s="20" t="s">
        <v>175</v>
      </c>
      <c r="E182" s="20" t="s">
        <v>38</v>
      </c>
      <c r="F182" s="20"/>
      <c r="G182" s="214">
        <f>G183+G184+G185</f>
        <v>82000</v>
      </c>
      <c r="H182" s="214">
        <f>H183+H184+H185</f>
        <v>25000</v>
      </c>
      <c r="I182" s="214">
        <f>I183+I184+I185</f>
        <v>12500</v>
      </c>
      <c r="J182" s="214">
        <f>J183+J184+J185</f>
        <v>12500</v>
      </c>
    </row>
    <row r="183" spans="1:10" s="21" customFormat="1" ht="36.75" customHeight="1">
      <c r="A183" s="11" t="s">
        <v>352</v>
      </c>
      <c r="B183" s="20"/>
      <c r="C183" s="20"/>
      <c r="D183" s="20"/>
      <c r="E183" s="20"/>
      <c r="F183" s="153" t="s">
        <v>381</v>
      </c>
      <c r="G183" s="214">
        <v>82000</v>
      </c>
      <c r="H183" s="214">
        <v>25000</v>
      </c>
      <c r="I183" s="215">
        <f>12500</f>
        <v>12500</v>
      </c>
      <c r="J183" s="192">
        <f t="shared" si="3"/>
        <v>12500</v>
      </c>
    </row>
    <row r="184" spans="1:10" s="21" customFormat="1" ht="39" customHeight="1">
      <c r="A184" s="19" t="s">
        <v>353</v>
      </c>
      <c r="B184" s="20"/>
      <c r="C184" s="20"/>
      <c r="D184" s="20"/>
      <c r="E184" s="20"/>
      <c r="F184" s="20" t="s">
        <v>382</v>
      </c>
      <c r="G184" s="214"/>
      <c r="H184" s="214">
        <v>0</v>
      </c>
      <c r="I184" s="215"/>
      <c r="J184" s="192">
        <f t="shared" si="3"/>
        <v>0</v>
      </c>
    </row>
    <row r="185" spans="1:10" s="21" customFormat="1" ht="26.25" customHeight="1">
      <c r="A185" s="12" t="s">
        <v>354</v>
      </c>
      <c r="B185" s="20"/>
      <c r="C185" s="20"/>
      <c r="D185" s="20"/>
      <c r="E185" s="20"/>
      <c r="F185" s="20" t="s">
        <v>382</v>
      </c>
      <c r="G185" s="214"/>
      <c r="H185" s="214">
        <v>0</v>
      </c>
      <c r="I185" s="215"/>
      <c r="J185" s="192">
        <f t="shared" si="3"/>
        <v>0</v>
      </c>
    </row>
    <row r="186" spans="1:10" s="21" customFormat="1" ht="13.5" customHeight="1">
      <c r="A186" s="43" t="s">
        <v>42</v>
      </c>
      <c r="B186" s="14" t="s">
        <v>145</v>
      </c>
      <c r="C186" s="14" t="s">
        <v>232</v>
      </c>
      <c r="D186" s="14" t="s">
        <v>175</v>
      </c>
      <c r="E186" s="14" t="s">
        <v>43</v>
      </c>
      <c r="F186" s="20"/>
      <c r="G186" s="214"/>
      <c r="H186" s="214"/>
      <c r="I186" s="215"/>
      <c r="J186" s="192">
        <f t="shared" si="3"/>
        <v>0</v>
      </c>
    </row>
    <row r="187" spans="1:10" s="21" customFormat="1" ht="12" customHeight="1">
      <c r="A187" s="87" t="s">
        <v>44</v>
      </c>
      <c r="B187" s="20" t="s">
        <v>145</v>
      </c>
      <c r="C187" s="20" t="s">
        <v>232</v>
      </c>
      <c r="D187" s="20" t="s">
        <v>175</v>
      </c>
      <c r="E187" s="20" t="s">
        <v>45</v>
      </c>
      <c r="F187" s="20" t="s">
        <v>369</v>
      </c>
      <c r="G187" s="214"/>
      <c r="H187" s="214">
        <v>0</v>
      </c>
      <c r="I187" s="215"/>
      <c r="J187" s="192">
        <f t="shared" si="3"/>
        <v>0</v>
      </c>
    </row>
    <row r="188" spans="1:10" s="21" customFormat="1" ht="14.25" customHeight="1">
      <c r="A188" s="6" t="s">
        <v>355</v>
      </c>
      <c r="B188" s="20"/>
      <c r="C188" s="20"/>
      <c r="D188" s="20"/>
      <c r="E188" s="20"/>
      <c r="F188" s="20"/>
      <c r="G188" s="214"/>
      <c r="H188" s="214">
        <v>0</v>
      </c>
      <c r="I188" s="215"/>
      <c r="J188" s="192">
        <f t="shared" si="3"/>
        <v>0</v>
      </c>
    </row>
    <row r="189" spans="1:10" s="21" customFormat="1" ht="14.25" customHeight="1">
      <c r="A189" s="43" t="s">
        <v>47</v>
      </c>
      <c r="B189" s="14" t="s">
        <v>145</v>
      </c>
      <c r="C189" s="14" t="s">
        <v>232</v>
      </c>
      <c r="D189" s="14" t="s">
        <v>175</v>
      </c>
      <c r="E189" s="14" t="s">
        <v>48</v>
      </c>
      <c r="F189" s="20"/>
      <c r="G189" s="211">
        <f>G190</f>
        <v>172000</v>
      </c>
      <c r="H189" s="211">
        <f>H190</f>
        <v>86000</v>
      </c>
      <c r="I189" s="211">
        <f>I190</f>
        <v>40207.32</v>
      </c>
      <c r="J189" s="211">
        <f>J190</f>
        <v>45792.68</v>
      </c>
    </row>
    <row r="190" spans="1:10" s="21" customFormat="1" ht="24.75" customHeight="1">
      <c r="A190" s="12" t="s">
        <v>354</v>
      </c>
      <c r="B190" s="20"/>
      <c r="C190" s="20"/>
      <c r="D190" s="20"/>
      <c r="E190" s="20"/>
      <c r="F190" s="153" t="s">
        <v>369</v>
      </c>
      <c r="G190" s="214">
        <v>172000</v>
      </c>
      <c r="H190" s="214">
        <v>86000</v>
      </c>
      <c r="I190" s="215">
        <v>40207.32</v>
      </c>
      <c r="J190" s="192">
        <f t="shared" si="3"/>
        <v>45792.68</v>
      </c>
    </row>
    <row r="191" spans="1:10" s="21" customFormat="1" ht="15.75" customHeight="1">
      <c r="A191" s="43" t="s">
        <v>49</v>
      </c>
      <c r="B191" s="14" t="s">
        <v>145</v>
      </c>
      <c r="C191" s="14" t="s">
        <v>232</v>
      </c>
      <c r="D191" s="14" t="s">
        <v>175</v>
      </c>
      <c r="E191" s="14" t="s">
        <v>50</v>
      </c>
      <c r="F191" s="20"/>
      <c r="G191" s="211">
        <f>G192+G196</f>
        <v>364500</v>
      </c>
      <c r="H191" s="211">
        <f>H192+H196</f>
        <v>182250</v>
      </c>
      <c r="I191" s="211">
        <f>I192+I196</f>
        <v>68084</v>
      </c>
      <c r="J191" s="211">
        <f>J192+J196</f>
        <v>114166</v>
      </c>
    </row>
    <row r="192" spans="1:10" s="21" customFormat="1" ht="17.25" customHeight="1">
      <c r="A192" s="87" t="s">
        <v>51</v>
      </c>
      <c r="B192" s="20" t="s">
        <v>145</v>
      </c>
      <c r="C192" s="20" t="s">
        <v>232</v>
      </c>
      <c r="D192" s="20" t="s">
        <v>175</v>
      </c>
      <c r="E192" s="20" t="s">
        <v>52</v>
      </c>
      <c r="F192" s="20"/>
      <c r="G192" s="214">
        <f>G195</f>
        <v>214500</v>
      </c>
      <c r="H192" s="214">
        <f>H195</f>
        <v>107250</v>
      </c>
      <c r="I192" s="214">
        <f>I195</f>
        <v>1537</v>
      </c>
      <c r="J192" s="214">
        <f>J195</f>
        <v>105713</v>
      </c>
    </row>
    <row r="193" spans="1:10" s="21" customFormat="1" ht="13.5" customHeight="1">
      <c r="A193" s="7" t="s">
        <v>356</v>
      </c>
      <c r="B193" s="20"/>
      <c r="C193" s="20"/>
      <c r="D193" s="20"/>
      <c r="E193" s="20"/>
      <c r="F193" s="20"/>
      <c r="G193" s="214"/>
      <c r="H193" s="214"/>
      <c r="I193" s="215"/>
      <c r="J193" s="192">
        <f t="shared" si="3"/>
        <v>0</v>
      </c>
    </row>
    <row r="194" spans="1:10" s="21" customFormat="1" ht="27" customHeight="1">
      <c r="A194" s="7" t="s">
        <v>54</v>
      </c>
      <c r="B194" s="20"/>
      <c r="C194" s="20"/>
      <c r="D194" s="20"/>
      <c r="E194" s="20"/>
      <c r="F194" s="20" t="s">
        <v>384</v>
      </c>
      <c r="G194" s="214"/>
      <c r="H194" s="214">
        <v>0</v>
      </c>
      <c r="I194" s="215"/>
      <c r="J194" s="192">
        <f t="shared" si="3"/>
        <v>0</v>
      </c>
    </row>
    <row r="195" spans="1:11" s="21" customFormat="1" ht="24.75" customHeight="1">
      <c r="A195" s="7" t="s">
        <v>55</v>
      </c>
      <c r="B195" s="20"/>
      <c r="C195" s="20"/>
      <c r="D195" s="20"/>
      <c r="E195" s="20"/>
      <c r="F195" s="20" t="s">
        <v>385</v>
      </c>
      <c r="G195" s="214">
        <v>214500</v>
      </c>
      <c r="H195" s="214">
        <v>107250</v>
      </c>
      <c r="I195" s="215">
        <f>1537</f>
        <v>1537</v>
      </c>
      <c r="J195" s="192">
        <f t="shared" si="3"/>
        <v>105713</v>
      </c>
      <c r="K195" s="21" t="s">
        <v>450</v>
      </c>
    </row>
    <row r="196" spans="1:10" s="21" customFormat="1" ht="15.75" customHeight="1">
      <c r="A196" s="87" t="s">
        <v>56</v>
      </c>
      <c r="B196" s="20" t="s">
        <v>145</v>
      </c>
      <c r="C196" s="20" t="s">
        <v>232</v>
      </c>
      <c r="D196" s="20" t="s">
        <v>175</v>
      </c>
      <c r="E196" s="20" t="s">
        <v>57</v>
      </c>
      <c r="F196" s="20"/>
      <c r="G196" s="214">
        <f>G197+G198+G200</f>
        <v>150000</v>
      </c>
      <c r="H196" s="214">
        <f>37500+37500</f>
        <v>75000</v>
      </c>
      <c r="I196" s="215">
        <f>I197+I198+I200</f>
        <v>66547</v>
      </c>
      <c r="J196" s="215">
        <f>J197+J198+J200</f>
        <v>8453</v>
      </c>
    </row>
    <row r="197" spans="1:10" s="21" customFormat="1" ht="24.75" customHeight="1">
      <c r="A197" s="7" t="s">
        <v>357</v>
      </c>
      <c r="B197" s="20"/>
      <c r="C197" s="20"/>
      <c r="D197" s="20"/>
      <c r="E197" s="20"/>
      <c r="F197" s="20" t="s">
        <v>386</v>
      </c>
      <c r="G197" s="214"/>
      <c r="H197" s="214">
        <v>0</v>
      </c>
      <c r="I197" s="215"/>
      <c r="J197" s="192">
        <f t="shared" si="3"/>
        <v>0</v>
      </c>
    </row>
    <row r="198" spans="1:10" s="21" customFormat="1" ht="12.75" customHeight="1">
      <c r="A198" s="7" t="s">
        <v>358</v>
      </c>
      <c r="B198" s="20"/>
      <c r="C198" s="20"/>
      <c r="D198" s="20"/>
      <c r="E198" s="20"/>
      <c r="F198" s="20" t="s">
        <v>387</v>
      </c>
      <c r="G198" s="214"/>
      <c r="H198" s="214">
        <v>0</v>
      </c>
      <c r="I198" s="215"/>
      <c r="J198" s="192">
        <f t="shared" si="3"/>
        <v>0</v>
      </c>
    </row>
    <row r="199" spans="1:10" s="21" customFormat="1" ht="14.25" customHeight="1">
      <c r="A199" s="7" t="s">
        <v>359</v>
      </c>
      <c r="B199" s="20"/>
      <c r="C199" s="20"/>
      <c r="D199" s="20"/>
      <c r="E199" s="20"/>
      <c r="F199" s="20" t="s">
        <v>388</v>
      </c>
      <c r="G199" s="214"/>
      <c r="H199" s="214">
        <v>0</v>
      </c>
      <c r="I199" s="215"/>
      <c r="J199" s="192">
        <f t="shared" si="3"/>
        <v>0</v>
      </c>
    </row>
    <row r="200" spans="1:10" s="21" customFormat="1" ht="24" customHeight="1">
      <c r="A200" s="7" t="s">
        <v>61</v>
      </c>
      <c r="B200" s="20"/>
      <c r="C200" s="20"/>
      <c r="D200" s="20"/>
      <c r="E200" s="20"/>
      <c r="F200" s="20" t="s">
        <v>389</v>
      </c>
      <c r="G200" s="214">
        <v>150000</v>
      </c>
      <c r="H200" s="214">
        <v>75000</v>
      </c>
      <c r="I200" s="215">
        <v>66547</v>
      </c>
      <c r="J200" s="192">
        <f t="shared" si="3"/>
        <v>8453</v>
      </c>
    </row>
    <row r="201" spans="1:10" s="32" customFormat="1" ht="15" customHeight="1">
      <c r="A201" s="111" t="s">
        <v>86</v>
      </c>
      <c r="B201" s="48" t="s">
        <v>146</v>
      </c>
      <c r="C201" s="48" t="s">
        <v>82</v>
      </c>
      <c r="D201" s="48" t="s">
        <v>2</v>
      </c>
      <c r="E201" s="48" t="s">
        <v>2</v>
      </c>
      <c r="F201" s="48"/>
      <c r="G201" s="217">
        <f>G258+G202</f>
        <v>24249136.9</v>
      </c>
      <c r="H201" s="217">
        <f>H258+H202</f>
        <v>14098852</v>
      </c>
      <c r="I201" s="217">
        <f>I258+I202</f>
        <v>10728565.520000001</v>
      </c>
      <c r="J201" s="217">
        <f>J258+J202</f>
        <v>3366478.6799999997</v>
      </c>
    </row>
    <row r="202" spans="1:10" s="86" customFormat="1" ht="12.75" customHeight="1">
      <c r="A202" s="47" t="s">
        <v>174</v>
      </c>
      <c r="B202" s="121" t="s">
        <v>146</v>
      </c>
      <c r="C202" s="121" t="s">
        <v>82</v>
      </c>
      <c r="D202" s="121" t="s">
        <v>175</v>
      </c>
      <c r="E202" s="121" t="s">
        <v>2</v>
      </c>
      <c r="F202" s="121"/>
      <c r="G202" s="217">
        <f>G203+G210+G246+G248+G243</f>
        <v>23350480.9</v>
      </c>
      <c r="H202" s="217">
        <f>H203+H210+H246+H248+H243</f>
        <v>13647274</v>
      </c>
      <c r="I202" s="217">
        <f>I203+I210+I246+I248+I243</f>
        <v>10332742.770000001</v>
      </c>
      <c r="J202" s="217">
        <f>J203+J210+J246+J248+J243</f>
        <v>3310723.4299999997</v>
      </c>
    </row>
    <row r="203" spans="1:10" s="45" customFormat="1" ht="13.5" customHeight="1">
      <c r="A203" s="43" t="s">
        <v>4</v>
      </c>
      <c r="B203" s="44" t="s">
        <v>146</v>
      </c>
      <c r="C203" s="44" t="s">
        <v>82</v>
      </c>
      <c r="D203" s="44" t="s">
        <v>175</v>
      </c>
      <c r="E203" s="44" t="s">
        <v>5</v>
      </c>
      <c r="F203" s="44"/>
      <c r="G203" s="197">
        <f>SUM(G209,G204)+G205</f>
        <v>11184144.8</v>
      </c>
      <c r="H203" s="197">
        <f>SUM(H209,H204)+H205</f>
        <v>6017357.9</v>
      </c>
      <c r="I203" s="197">
        <f>SUM(I209,I204)+I205</f>
        <v>5099789.29</v>
      </c>
      <c r="J203" s="197">
        <f>SUM(J209,J204)+J205</f>
        <v>917568.6099999999</v>
      </c>
    </row>
    <row r="204" spans="1:10" s="28" customFormat="1" ht="12.75">
      <c r="A204" s="87" t="s">
        <v>6</v>
      </c>
      <c r="B204" s="27" t="s">
        <v>146</v>
      </c>
      <c r="C204" s="27" t="s">
        <v>82</v>
      </c>
      <c r="D204" s="27" t="s">
        <v>175</v>
      </c>
      <c r="E204" s="27" t="s">
        <v>7</v>
      </c>
      <c r="F204" s="27" t="s">
        <v>369</v>
      </c>
      <c r="G204" s="201">
        <v>8194316</v>
      </c>
      <c r="H204" s="201">
        <f>1914950+2384500</f>
        <v>4299450</v>
      </c>
      <c r="I204" s="202">
        <v>3795478.29</v>
      </c>
      <c r="J204" s="192">
        <f aca="true" t="shared" si="4" ref="J204:J266">H204-I204</f>
        <v>503971.70999999996</v>
      </c>
    </row>
    <row r="205" spans="1:10" s="28" customFormat="1" ht="12.75">
      <c r="A205" s="87" t="s">
        <v>8</v>
      </c>
      <c r="B205" s="27" t="s">
        <v>146</v>
      </c>
      <c r="C205" s="27" t="s">
        <v>82</v>
      </c>
      <c r="D205" s="27" t="s">
        <v>175</v>
      </c>
      <c r="E205" s="27" t="s">
        <v>9</v>
      </c>
      <c r="F205" s="27"/>
      <c r="G205" s="201">
        <f>SUM(G206:G208)</f>
        <v>842930</v>
      </c>
      <c r="H205" s="201">
        <f>SUM(H206:H208)</f>
        <v>591464</v>
      </c>
      <c r="I205" s="201">
        <f>SUM(I206:I208)</f>
        <v>429280</v>
      </c>
      <c r="J205" s="201">
        <f>SUM(J206:J208)</f>
        <v>162184</v>
      </c>
    </row>
    <row r="206" spans="1:10" ht="12.75">
      <c r="A206" s="11" t="s">
        <v>360</v>
      </c>
      <c r="B206" s="4"/>
      <c r="C206" s="4"/>
      <c r="D206" s="4"/>
      <c r="E206" s="4"/>
      <c r="F206" s="4" t="s">
        <v>371</v>
      </c>
      <c r="G206" s="200">
        <v>72930</v>
      </c>
      <c r="H206" s="200">
        <f>18231+18233</f>
        <v>36464</v>
      </c>
      <c r="I206" s="199">
        <v>36380</v>
      </c>
      <c r="J206" s="192">
        <f t="shared" si="4"/>
        <v>84</v>
      </c>
    </row>
    <row r="207" spans="1:10" ht="12.75" customHeight="1">
      <c r="A207" s="12" t="s">
        <v>343</v>
      </c>
      <c r="B207" s="4"/>
      <c r="C207" s="4"/>
      <c r="D207" s="4"/>
      <c r="E207" s="4"/>
      <c r="F207" s="4" t="s">
        <v>390</v>
      </c>
      <c r="G207" s="200"/>
      <c r="H207" s="200">
        <v>0</v>
      </c>
      <c r="I207" s="199"/>
      <c r="J207" s="192">
        <f t="shared" si="4"/>
        <v>0</v>
      </c>
    </row>
    <row r="208" spans="1:10" ht="12.75" customHeight="1">
      <c r="A208" s="6" t="s">
        <v>361</v>
      </c>
      <c r="B208" s="4"/>
      <c r="C208" s="4"/>
      <c r="D208" s="4"/>
      <c r="E208" s="4"/>
      <c r="F208" s="4" t="s">
        <v>370</v>
      </c>
      <c r="G208" s="200">
        <v>770000</v>
      </c>
      <c r="H208" s="200">
        <f>55000+500000</f>
        <v>555000</v>
      </c>
      <c r="I208" s="199">
        <v>392900</v>
      </c>
      <c r="J208" s="192">
        <f t="shared" si="4"/>
        <v>162100</v>
      </c>
    </row>
    <row r="209" spans="1:10" s="28" customFormat="1" ht="12.75">
      <c r="A209" s="87" t="s">
        <v>13</v>
      </c>
      <c r="B209" s="27" t="s">
        <v>146</v>
      </c>
      <c r="C209" s="27" t="s">
        <v>82</v>
      </c>
      <c r="D209" s="27" t="s">
        <v>175</v>
      </c>
      <c r="E209" s="27" t="s">
        <v>14</v>
      </c>
      <c r="F209" s="27" t="s">
        <v>369</v>
      </c>
      <c r="G209" s="201">
        <v>2146898.8</v>
      </c>
      <c r="H209" s="201">
        <f>501716.9+624727</f>
        <v>1126443.9</v>
      </c>
      <c r="I209" s="201">
        <v>875031</v>
      </c>
      <c r="J209" s="192">
        <f t="shared" si="4"/>
        <v>251412.8999999999</v>
      </c>
    </row>
    <row r="210" spans="1:10" s="45" customFormat="1" ht="12.75">
      <c r="A210" s="43" t="s">
        <v>15</v>
      </c>
      <c r="B210" s="44" t="s">
        <v>146</v>
      </c>
      <c r="C210" s="44" t="s">
        <v>82</v>
      </c>
      <c r="D210" s="44" t="s">
        <v>175</v>
      </c>
      <c r="E210" s="44" t="s">
        <v>16</v>
      </c>
      <c r="F210" s="44"/>
      <c r="G210" s="197">
        <f>SUM(G211,G212,G215,G220,G226)</f>
        <v>9188336.1</v>
      </c>
      <c r="H210" s="197">
        <f>SUM(H211,H212,H215,H220,H226)</f>
        <v>5300916.1</v>
      </c>
      <c r="I210" s="197">
        <f>SUM(I211,I212,I215,I220,I226)</f>
        <v>3952581.0999999996</v>
      </c>
      <c r="J210" s="197">
        <f>SUM(J211,J212,J215,J220,J226)</f>
        <v>1344527.2</v>
      </c>
    </row>
    <row r="211" spans="1:10" s="28" customFormat="1" ht="12.75">
      <c r="A211" s="87" t="s">
        <v>341</v>
      </c>
      <c r="B211" s="27" t="s">
        <v>146</v>
      </c>
      <c r="C211" s="27" t="s">
        <v>82</v>
      </c>
      <c r="D211" s="27" t="s">
        <v>175</v>
      </c>
      <c r="E211" s="27" t="s">
        <v>18</v>
      </c>
      <c r="F211" s="27" t="s">
        <v>369</v>
      </c>
      <c r="G211" s="201">
        <v>732612</v>
      </c>
      <c r="H211" s="201">
        <f>183153+183153</f>
        <v>366306</v>
      </c>
      <c r="I211" s="202">
        <v>248321.58</v>
      </c>
      <c r="J211" s="192">
        <f t="shared" si="4"/>
        <v>117984.42000000001</v>
      </c>
    </row>
    <row r="212" spans="1:10" s="28" customFormat="1" ht="12.75">
      <c r="A212" s="87" t="s">
        <v>21</v>
      </c>
      <c r="B212" s="27" t="s">
        <v>146</v>
      </c>
      <c r="C212" s="27" t="s">
        <v>82</v>
      </c>
      <c r="D212" s="27" t="s">
        <v>175</v>
      </c>
      <c r="E212" s="27" t="s">
        <v>19</v>
      </c>
      <c r="F212" s="27"/>
      <c r="G212" s="219">
        <f>SUM(G213:G214)</f>
        <v>997789</v>
      </c>
      <c r="H212" s="219">
        <f>SUM(H213:H214)</f>
        <v>721900</v>
      </c>
      <c r="I212" s="219">
        <f>SUM(I213:I214)</f>
        <v>592505.97</v>
      </c>
      <c r="J212" s="219">
        <f>SUM(J213:J214)</f>
        <v>129394.02999999997</v>
      </c>
    </row>
    <row r="213" spans="1:10" ht="25.5">
      <c r="A213" s="11" t="s">
        <v>344</v>
      </c>
      <c r="B213" s="4"/>
      <c r="C213" s="4"/>
      <c r="D213" s="4"/>
      <c r="E213" s="4"/>
      <c r="F213" s="4" t="s">
        <v>372</v>
      </c>
      <c r="G213" s="200">
        <v>487789</v>
      </c>
      <c r="H213" s="200">
        <f>120950+220950</f>
        <v>341900</v>
      </c>
      <c r="I213" s="199">
        <v>265237.7</v>
      </c>
      <c r="J213" s="192">
        <f t="shared" si="4"/>
        <v>76662.29999999999</v>
      </c>
    </row>
    <row r="214" spans="1:10" ht="38.25">
      <c r="A214" s="8" t="s">
        <v>362</v>
      </c>
      <c r="B214" s="4"/>
      <c r="C214" s="4"/>
      <c r="D214" s="4"/>
      <c r="E214" s="4"/>
      <c r="F214" s="4" t="s">
        <v>374</v>
      </c>
      <c r="G214" s="200">
        <v>510000</v>
      </c>
      <c r="H214" s="200">
        <v>380000</v>
      </c>
      <c r="I214" s="199">
        <v>327268.27</v>
      </c>
      <c r="J214" s="192">
        <f t="shared" si="4"/>
        <v>52731.72999999998</v>
      </c>
    </row>
    <row r="215" spans="1:10" s="28" customFormat="1" ht="12.75">
      <c r="A215" s="87" t="s">
        <v>23</v>
      </c>
      <c r="B215" s="27" t="s">
        <v>146</v>
      </c>
      <c r="C215" s="27" t="s">
        <v>82</v>
      </c>
      <c r="D215" s="27" t="s">
        <v>175</v>
      </c>
      <c r="E215" s="27" t="s">
        <v>24</v>
      </c>
      <c r="F215" s="27"/>
      <c r="G215" s="219">
        <f>SUM(G216:G218)</f>
        <v>3949200.1</v>
      </c>
      <c r="H215" s="219">
        <f>SUM(H216:H218)</f>
        <v>2262080.1</v>
      </c>
      <c r="I215" s="219">
        <f>SUM(I216:I218)</f>
        <v>1348884.88</v>
      </c>
      <c r="J215" s="219">
        <f>SUM(J216:J218)</f>
        <v>913195.22</v>
      </c>
    </row>
    <row r="216" spans="1:10" ht="12.75" customHeight="1">
      <c r="A216" s="7" t="s">
        <v>345</v>
      </c>
      <c r="B216" s="4"/>
      <c r="C216" s="4"/>
      <c r="D216" s="4"/>
      <c r="E216" s="4"/>
      <c r="F216" s="4" t="s">
        <v>373</v>
      </c>
      <c r="G216" s="200">
        <v>3734160</v>
      </c>
      <c r="H216" s="200">
        <v>2151250</v>
      </c>
      <c r="I216" s="199">
        <v>1333229.73</v>
      </c>
      <c r="J216" s="192">
        <f t="shared" si="4"/>
        <v>818020.27</v>
      </c>
    </row>
    <row r="217" spans="1:10" ht="12.75" customHeight="1">
      <c r="A217" s="7" t="s">
        <v>346</v>
      </c>
      <c r="B217" s="4"/>
      <c r="C217" s="4"/>
      <c r="D217" s="4"/>
      <c r="E217" s="4"/>
      <c r="F217" s="4" t="s">
        <v>375</v>
      </c>
      <c r="G217" s="200">
        <v>156610</v>
      </c>
      <c r="H217" s="200">
        <v>81700</v>
      </c>
      <c r="I217" s="199"/>
      <c r="J217" s="192">
        <f t="shared" si="4"/>
        <v>81700</v>
      </c>
    </row>
    <row r="218" spans="1:10" ht="12.75">
      <c r="A218" s="7" t="s">
        <v>347</v>
      </c>
      <c r="B218" s="4"/>
      <c r="C218" s="4"/>
      <c r="D218" s="4"/>
      <c r="E218" s="4"/>
      <c r="F218" s="4" t="s">
        <v>376</v>
      </c>
      <c r="G218" s="200">
        <v>58430.1</v>
      </c>
      <c r="H218" s="200">
        <v>29130.1</v>
      </c>
      <c r="I218" s="199">
        <v>15655.15</v>
      </c>
      <c r="J218" s="192">
        <f t="shared" si="4"/>
        <v>13474.949999999999</v>
      </c>
    </row>
    <row r="219" spans="1:10" s="28" customFormat="1" ht="15" customHeight="1">
      <c r="A219" s="87" t="s">
        <v>28</v>
      </c>
      <c r="B219" s="27" t="s">
        <v>146</v>
      </c>
      <c r="C219" s="27" t="s">
        <v>82</v>
      </c>
      <c r="D219" s="27" t="s">
        <v>175</v>
      </c>
      <c r="E219" s="27" t="s">
        <v>29</v>
      </c>
      <c r="F219" s="27"/>
      <c r="G219" s="201"/>
      <c r="H219" s="201">
        <v>0</v>
      </c>
      <c r="I219" s="202"/>
      <c r="J219" s="192">
        <f t="shared" si="4"/>
        <v>0</v>
      </c>
    </row>
    <row r="220" spans="1:10" s="28" customFormat="1" ht="12.75">
      <c r="A220" s="87" t="s">
        <v>30</v>
      </c>
      <c r="B220" s="27" t="s">
        <v>146</v>
      </c>
      <c r="C220" s="27" t="s">
        <v>82</v>
      </c>
      <c r="D220" s="27" t="s">
        <v>175</v>
      </c>
      <c r="E220" s="27" t="s">
        <v>31</v>
      </c>
      <c r="F220" s="27"/>
      <c r="G220" s="211">
        <f>SUM(G221:G225)</f>
        <v>1166522</v>
      </c>
      <c r="H220" s="211">
        <f>SUM(H221:H225)</f>
        <v>638260</v>
      </c>
      <c r="I220" s="211">
        <f>SUM(I221:I225)-1903.9</f>
        <v>485282.02</v>
      </c>
      <c r="J220" s="211">
        <f>SUM(J221:J225)-1903.9</f>
        <v>149170.17999999993</v>
      </c>
    </row>
    <row r="221" spans="1:10" s="18" customFormat="1" ht="12.75">
      <c r="A221" s="7" t="s">
        <v>348</v>
      </c>
      <c r="B221" s="17"/>
      <c r="C221" s="17"/>
      <c r="D221" s="17"/>
      <c r="E221" s="17"/>
      <c r="F221" s="17" t="s">
        <v>377</v>
      </c>
      <c r="G221" s="186">
        <v>385802</v>
      </c>
      <c r="H221" s="186">
        <v>192900</v>
      </c>
      <c r="I221" s="213">
        <v>172959.42</v>
      </c>
      <c r="J221" s="192">
        <f t="shared" si="4"/>
        <v>19940.579999999987</v>
      </c>
    </row>
    <row r="222" spans="1:10" s="18" customFormat="1" ht="12.75">
      <c r="A222" s="7" t="s">
        <v>349</v>
      </c>
      <c r="B222" s="17"/>
      <c r="C222" s="17"/>
      <c r="D222" s="17"/>
      <c r="E222" s="17"/>
      <c r="F222" s="17" t="s">
        <v>376</v>
      </c>
      <c r="G222" s="186"/>
      <c r="H222" s="186">
        <v>0</v>
      </c>
      <c r="I222" s="213"/>
      <c r="J222" s="192">
        <f t="shared" si="4"/>
        <v>0</v>
      </c>
    </row>
    <row r="223" spans="1:10" s="18" customFormat="1" ht="25.5">
      <c r="A223" s="7" t="s">
        <v>350</v>
      </c>
      <c r="B223" s="17"/>
      <c r="C223" s="17"/>
      <c r="D223" s="17"/>
      <c r="E223" s="17"/>
      <c r="F223" s="17" t="s">
        <v>379</v>
      </c>
      <c r="G223" s="186">
        <v>90720</v>
      </c>
      <c r="H223" s="186">
        <f>22680+22680</f>
        <v>45360</v>
      </c>
      <c r="I223" s="213">
        <v>48900.98</v>
      </c>
      <c r="J223" s="192">
        <f t="shared" si="4"/>
        <v>-3540.980000000003</v>
      </c>
    </row>
    <row r="224" spans="1:10" s="18" customFormat="1" ht="12.75">
      <c r="A224" s="7" t="s">
        <v>351</v>
      </c>
      <c r="B224" s="17"/>
      <c r="C224" s="17"/>
      <c r="D224" s="17"/>
      <c r="E224" s="17"/>
      <c r="F224" s="17" t="s">
        <v>380</v>
      </c>
      <c r="G224" s="186">
        <v>690000</v>
      </c>
      <c r="H224" s="186">
        <f>300000+100000</f>
        <v>400000</v>
      </c>
      <c r="I224" s="213">
        <f>12006+278.3+1518+3082+460+506+3289+4042.97+3502</f>
        <v>28684.27</v>
      </c>
      <c r="J224" s="192">
        <f t="shared" si="4"/>
        <v>371315.73</v>
      </c>
    </row>
    <row r="225" spans="1:10" s="18" customFormat="1" ht="37.5" customHeight="1">
      <c r="A225" s="7" t="s">
        <v>363</v>
      </c>
      <c r="B225" s="17"/>
      <c r="C225" s="17"/>
      <c r="D225" s="17"/>
      <c r="E225" s="17"/>
      <c r="F225" s="17"/>
      <c r="G225" s="186">
        <v>0</v>
      </c>
      <c r="H225" s="186">
        <v>0</v>
      </c>
      <c r="I225" s="213">
        <f>265325.52-28684.27</f>
        <v>236641.25000000003</v>
      </c>
      <c r="J225" s="192">
        <f t="shared" si="4"/>
        <v>-236641.25000000003</v>
      </c>
    </row>
    <row r="226" spans="1:10" s="28" customFormat="1" ht="12.75">
      <c r="A226" s="87" t="s">
        <v>37</v>
      </c>
      <c r="B226" s="27" t="s">
        <v>146</v>
      </c>
      <c r="C226" s="27" t="s">
        <v>82</v>
      </c>
      <c r="D226" s="27" t="s">
        <v>175</v>
      </c>
      <c r="E226" s="27" t="s">
        <v>38</v>
      </c>
      <c r="F226" s="27"/>
      <c r="G226" s="219">
        <f>SUM(G227:G229)</f>
        <v>2342213</v>
      </c>
      <c r="H226" s="219">
        <f>SUM(H227:H229)</f>
        <v>1312370</v>
      </c>
      <c r="I226" s="219">
        <f>SUM(I227:I229)</f>
        <v>1277586.65</v>
      </c>
      <c r="J226" s="219">
        <f>SUM(J227:J229)</f>
        <v>34783.350000000035</v>
      </c>
    </row>
    <row r="227" spans="1:10" s="21" customFormat="1" ht="38.25">
      <c r="A227" s="11" t="s">
        <v>352</v>
      </c>
      <c r="B227" s="20"/>
      <c r="C227" s="20"/>
      <c r="D227" s="20"/>
      <c r="E227" s="20"/>
      <c r="F227" s="153" t="s">
        <v>381</v>
      </c>
      <c r="G227" s="214">
        <v>401550</v>
      </c>
      <c r="H227" s="214">
        <f>100380+100380</f>
        <v>200760</v>
      </c>
      <c r="I227" s="215">
        <v>191039.93</v>
      </c>
      <c r="J227" s="192">
        <f t="shared" si="4"/>
        <v>9720.070000000007</v>
      </c>
    </row>
    <row r="228" spans="1:10" s="21" customFormat="1" ht="38.25">
      <c r="A228" s="19" t="s">
        <v>353</v>
      </c>
      <c r="B228" s="20"/>
      <c r="C228" s="20"/>
      <c r="D228" s="20"/>
      <c r="E228" s="20"/>
      <c r="F228" s="20" t="s">
        <v>391</v>
      </c>
      <c r="G228" s="186">
        <v>5600</v>
      </c>
      <c r="H228" s="186">
        <v>5600</v>
      </c>
      <c r="I228" s="213">
        <v>0</v>
      </c>
      <c r="J228" s="192">
        <f t="shared" si="4"/>
        <v>5600</v>
      </c>
    </row>
    <row r="229" spans="1:10" s="21" customFormat="1" ht="25.5" customHeight="1">
      <c r="A229" s="12" t="s">
        <v>364</v>
      </c>
      <c r="B229" s="20"/>
      <c r="C229" s="20"/>
      <c r="D229" s="20"/>
      <c r="E229" s="20"/>
      <c r="F229" s="20" t="s">
        <v>382</v>
      </c>
      <c r="G229" s="214">
        <f>G230+G231+G232+G233+G234+G235+G236+G237+G238+G239+G240+G241+G242</f>
        <v>1935063</v>
      </c>
      <c r="H229" s="214">
        <f>H230+H231+H232+H233+H234+H235+H236+H237+H238+H239+H240+H241+H242</f>
        <v>1106010</v>
      </c>
      <c r="I229" s="214">
        <f>I230+I231+I232+I233+I234+I235+I236+I237+I238+I239+I240+I241+I242</f>
        <v>1086546.72</v>
      </c>
      <c r="J229" s="214">
        <f>J230+J231+J232+J233+J234+J235+J236+J237+J238+J239+J240+J241+J242</f>
        <v>19463.280000000028</v>
      </c>
    </row>
    <row r="230" spans="1:10" s="21" customFormat="1" ht="12.75" customHeight="1">
      <c r="A230" s="168" t="s">
        <v>318</v>
      </c>
      <c r="B230" s="20"/>
      <c r="C230" s="20"/>
      <c r="D230" s="20"/>
      <c r="E230" s="20"/>
      <c r="F230" s="20"/>
      <c r="G230" s="186">
        <v>108313</v>
      </c>
      <c r="H230" s="186">
        <f>53850</f>
        <v>53850</v>
      </c>
      <c r="I230" s="213">
        <v>62706.92</v>
      </c>
      <c r="J230" s="192">
        <f t="shared" si="4"/>
        <v>-8856.919999999998</v>
      </c>
    </row>
    <row r="231" spans="1:10" s="21" customFormat="1" ht="18" customHeight="1">
      <c r="A231" s="168" t="s">
        <v>319</v>
      </c>
      <c r="B231" s="20"/>
      <c r="C231" s="20"/>
      <c r="D231" s="20"/>
      <c r="E231" s="20"/>
      <c r="F231" s="20"/>
      <c r="G231" s="186">
        <v>177100</v>
      </c>
      <c r="H231" s="186">
        <f>44275+44275</f>
        <v>88550</v>
      </c>
      <c r="I231" s="213">
        <f>30558.84</f>
        <v>30558.84</v>
      </c>
      <c r="J231" s="192">
        <f t="shared" si="4"/>
        <v>57991.16</v>
      </c>
    </row>
    <row r="232" spans="1:10" s="21" customFormat="1" ht="12.75" customHeight="1">
      <c r="A232" s="168" t="s">
        <v>320</v>
      </c>
      <c r="B232" s="20"/>
      <c r="C232" s="20"/>
      <c r="D232" s="20"/>
      <c r="E232" s="20"/>
      <c r="F232" s="20"/>
      <c r="G232" s="186">
        <v>15960</v>
      </c>
      <c r="H232" s="186">
        <f>3990+3990</f>
        <v>7980</v>
      </c>
      <c r="I232" s="213"/>
      <c r="J232" s="192">
        <f t="shared" si="4"/>
        <v>7980</v>
      </c>
    </row>
    <row r="233" spans="1:10" s="21" customFormat="1" ht="12.75" customHeight="1">
      <c r="A233" s="168" t="s">
        <v>321</v>
      </c>
      <c r="B233" s="20"/>
      <c r="C233" s="20"/>
      <c r="D233" s="20"/>
      <c r="E233" s="20"/>
      <c r="F233" s="20"/>
      <c r="G233" s="186">
        <v>101320</v>
      </c>
      <c r="H233" s="186">
        <f>25330+25330</f>
        <v>50660</v>
      </c>
      <c r="I233" s="213">
        <v>32896.92</v>
      </c>
      <c r="J233" s="192">
        <f t="shared" si="4"/>
        <v>17763.08</v>
      </c>
    </row>
    <row r="234" spans="1:10" s="21" customFormat="1" ht="15.75" customHeight="1">
      <c r="A234" s="168" t="s">
        <v>322</v>
      </c>
      <c r="B234" s="20"/>
      <c r="C234" s="20"/>
      <c r="D234" s="20"/>
      <c r="E234" s="20"/>
      <c r="F234" s="20"/>
      <c r="G234" s="186">
        <v>152800</v>
      </c>
      <c r="H234" s="186">
        <f>38200+38200</f>
        <v>76400</v>
      </c>
      <c r="I234" s="262">
        <v>69936.91</v>
      </c>
      <c r="J234" s="192">
        <f t="shared" si="4"/>
        <v>6463.0899999999965</v>
      </c>
    </row>
    <row r="235" spans="1:10" s="21" customFormat="1" ht="13.5" customHeight="1">
      <c r="A235" s="168" t="s">
        <v>323</v>
      </c>
      <c r="B235" s="20"/>
      <c r="C235" s="20"/>
      <c r="D235" s="20"/>
      <c r="E235" s="20"/>
      <c r="F235" s="20"/>
      <c r="G235" s="186">
        <v>188000</v>
      </c>
      <c r="H235" s="186">
        <f>47000+47000</f>
        <v>94000</v>
      </c>
      <c r="I235" s="213"/>
      <c r="J235" s="192">
        <f t="shared" si="4"/>
        <v>94000</v>
      </c>
    </row>
    <row r="236" spans="1:10" s="21" customFormat="1" ht="13.5" customHeight="1">
      <c r="A236" s="168" t="s">
        <v>324</v>
      </c>
      <c r="B236" s="20"/>
      <c r="C236" s="20"/>
      <c r="D236" s="20"/>
      <c r="E236" s="20"/>
      <c r="F236" s="20"/>
      <c r="G236" s="186">
        <v>187200</v>
      </c>
      <c r="H236" s="186">
        <f>109800+25800</f>
        <v>135600</v>
      </c>
      <c r="I236" s="262">
        <v>20187.36</v>
      </c>
      <c r="J236" s="192">
        <f t="shared" si="4"/>
        <v>115412.64</v>
      </c>
    </row>
    <row r="237" spans="1:10" s="21" customFormat="1" ht="18.75" customHeight="1">
      <c r="A237" s="168" t="s">
        <v>325</v>
      </c>
      <c r="B237" s="20"/>
      <c r="C237" s="20"/>
      <c r="D237" s="20"/>
      <c r="E237" s="20"/>
      <c r="F237" s="20"/>
      <c r="G237" s="186">
        <v>175000</v>
      </c>
      <c r="H237" s="186">
        <f>43750+43750</f>
        <v>87500</v>
      </c>
      <c r="I237" s="213">
        <v>12776.39</v>
      </c>
      <c r="J237" s="192">
        <f t="shared" si="4"/>
        <v>74723.61</v>
      </c>
    </row>
    <row r="238" spans="1:10" s="21" customFormat="1" ht="15.75" customHeight="1">
      <c r="A238" s="168" t="s">
        <v>326</v>
      </c>
      <c r="B238" s="20"/>
      <c r="C238" s="20"/>
      <c r="D238" s="20"/>
      <c r="E238" s="20"/>
      <c r="F238" s="20"/>
      <c r="G238" s="186">
        <v>97120</v>
      </c>
      <c r="H238" s="186">
        <f>24280+24280</f>
        <v>48560</v>
      </c>
      <c r="I238" s="213">
        <v>53164.28</v>
      </c>
      <c r="J238" s="192">
        <f t="shared" si="4"/>
        <v>-4604.279999999999</v>
      </c>
    </row>
    <row r="239" spans="1:10" s="21" customFormat="1" ht="17.25" customHeight="1">
      <c r="A239" s="168" t="s">
        <v>327</v>
      </c>
      <c r="B239" s="20"/>
      <c r="C239" s="20"/>
      <c r="D239" s="20"/>
      <c r="E239" s="20"/>
      <c r="F239" s="20"/>
      <c r="G239" s="186">
        <v>188570</v>
      </c>
      <c r="H239" s="186">
        <v>188570</v>
      </c>
      <c r="I239" s="213">
        <v>7003</v>
      </c>
      <c r="J239" s="192">
        <f t="shared" si="4"/>
        <v>181567</v>
      </c>
    </row>
    <row r="240" spans="1:10" s="21" customFormat="1" ht="12.75" customHeight="1">
      <c r="A240" s="168" t="s">
        <v>328</v>
      </c>
      <c r="B240" s="20"/>
      <c r="C240" s="20"/>
      <c r="D240" s="20"/>
      <c r="E240" s="20"/>
      <c r="F240" s="20"/>
      <c r="G240" s="186">
        <v>8280</v>
      </c>
      <c r="H240" s="186">
        <f>2070+2070</f>
        <v>4140</v>
      </c>
      <c r="I240" s="213">
        <v>3620</v>
      </c>
      <c r="J240" s="192">
        <f t="shared" si="4"/>
        <v>520</v>
      </c>
    </row>
    <row r="241" spans="1:10" s="21" customFormat="1" ht="16.5" customHeight="1">
      <c r="A241" s="168" t="s">
        <v>329</v>
      </c>
      <c r="B241" s="20"/>
      <c r="C241" s="20"/>
      <c r="D241" s="20"/>
      <c r="E241" s="20"/>
      <c r="F241" s="20"/>
      <c r="G241" s="186">
        <v>30400</v>
      </c>
      <c r="H241" s="186">
        <f>7600+7600</f>
        <v>15200</v>
      </c>
      <c r="I241" s="213">
        <v>17600</v>
      </c>
      <c r="J241" s="192">
        <f t="shared" si="4"/>
        <v>-2400</v>
      </c>
    </row>
    <row r="242" spans="1:10" s="21" customFormat="1" ht="13.5" customHeight="1">
      <c r="A242" s="168" t="s">
        <v>330</v>
      </c>
      <c r="B242" s="20"/>
      <c r="C242" s="20"/>
      <c r="D242" s="20"/>
      <c r="E242" s="20"/>
      <c r="F242" s="20"/>
      <c r="G242" s="186">
        <v>505000</v>
      </c>
      <c r="H242" s="186">
        <f>125000+130000</f>
        <v>255000</v>
      </c>
      <c r="I242" s="213">
        <v>776096.1</v>
      </c>
      <c r="J242" s="192">
        <f t="shared" si="4"/>
        <v>-521096.1</v>
      </c>
    </row>
    <row r="243" spans="1:10" s="45" customFormat="1" ht="12.75">
      <c r="A243" s="43" t="s">
        <v>42</v>
      </c>
      <c r="B243" s="44" t="s">
        <v>146</v>
      </c>
      <c r="C243" s="44" t="s">
        <v>82</v>
      </c>
      <c r="D243" s="44" t="s">
        <v>175</v>
      </c>
      <c r="E243" s="44" t="s">
        <v>43</v>
      </c>
      <c r="F243" s="44"/>
      <c r="G243" s="197">
        <f>G244</f>
        <v>435500</v>
      </c>
      <c r="H243" s="197">
        <f>H244</f>
        <v>435500</v>
      </c>
      <c r="I243" s="197">
        <f>I244</f>
        <v>435178.8</v>
      </c>
      <c r="J243" s="197">
        <f>J244</f>
        <v>321.20000000001164</v>
      </c>
    </row>
    <row r="244" spans="1:10" s="28" customFormat="1" ht="12.75">
      <c r="A244" s="87" t="s">
        <v>44</v>
      </c>
      <c r="B244" s="27" t="s">
        <v>146</v>
      </c>
      <c r="C244" s="27" t="s">
        <v>82</v>
      </c>
      <c r="D244" s="27" t="s">
        <v>175</v>
      </c>
      <c r="E244" s="27" t="s">
        <v>45</v>
      </c>
      <c r="F244" s="27" t="s">
        <v>414</v>
      </c>
      <c r="G244" s="201">
        <v>435500</v>
      </c>
      <c r="H244" s="201">
        <v>435500</v>
      </c>
      <c r="I244" s="202">
        <v>435178.8</v>
      </c>
      <c r="J244" s="192">
        <f t="shared" si="4"/>
        <v>321.20000000001164</v>
      </c>
    </row>
    <row r="245" spans="1:10" s="21" customFormat="1" ht="12.75">
      <c r="A245" s="6" t="s">
        <v>355</v>
      </c>
      <c r="B245" s="20"/>
      <c r="C245" s="20"/>
      <c r="D245" s="20"/>
      <c r="E245" s="20"/>
      <c r="F245" s="20"/>
      <c r="G245" s="214"/>
      <c r="H245" s="214" t="s">
        <v>445</v>
      </c>
      <c r="I245" s="215"/>
      <c r="J245" s="192"/>
    </row>
    <row r="246" spans="1:10" s="45" customFormat="1" ht="12.75">
      <c r="A246" s="43" t="s">
        <v>47</v>
      </c>
      <c r="B246" s="44" t="s">
        <v>146</v>
      </c>
      <c r="C246" s="44" t="s">
        <v>82</v>
      </c>
      <c r="D246" s="44" t="s">
        <v>175</v>
      </c>
      <c r="E246" s="44" t="s">
        <v>48</v>
      </c>
      <c r="F246" s="44"/>
      <c r="G246" s="197">
        <f>SUM(G247)</f>
        <v>445000</v>
      </c>
      <c r="H246" s="197">
        <f>SUM(H247)</f>
        <v>222500</v>
      </c>
      <c r="I246" s="197">
        <f>SUM(I247)</f>
        <v>129706.15</v>
      </c>
      <c r="J246" s="197">
        <f>SUM(J247)</f>
        <v>92793.85</v>
      </c>
    </row>
    <row r="247" spans="1:10" s="21" customFormat="1" ht="27.75" customHeight="1">
      <c r="A247" s="12" t="s">
        <v>354</v>
      </c>
      <c r="B247" s="20"/>
      <c r="C247" s="20"/>
      <c r="D247" s="20"/>
      <c r="E247" s="20"/>
      <c r="F247" s="153" t="s">
        <v>383</v>
      </c>
      <c r="G247" s="214">
        <v>445000</v>
      </c>
      <c r="H247" s="214">
        <f>111250+111250</f>
        <v>222500</v>
      </c>
      <c r="I247" s="215">
        <f>129706.15</f>
        <v>129706.15</v>
      </c>
      <c r="J247" s="192">
        <f t="shared" si="4"/>
        <v>92793.85</v>
      </c>
    </row>
    <row r="248" spans="1:10" s="45" customFormat="1" ht="12.75">
      <c r="A248" s="43" t="s">
        <v>49</v>
      </c>
      <c r="B248" s="44" t="s">
        <v>146</v>
      </c>
      <c r="C248" s="44" t="s">
        <v>82</v>
      </c>
      <c r="D248" s="44" t="s">
        <v>175</v>
      </c>
      <c r="E248" s="44" t="s">
        <v>50</v>
      </c>
      <c r="F248" s="44"/>
      <c r="G248" s="197">
        <f>SUM(G249,G253)</f>
        <v>2097500</v>
      </c>
      <c r="H248" s="197">
        <f>SUM(H249,H253)</f>
        <v>1671000</v>
      </c>
      <c r="I248" s="197">
        <f>SUM(I249,I253)</f>
        <v>715487.4299999999</v>
      </c>
      <c r="J248" s="197">
        <f>SUM(J249,J253)</f>
        <v>955512.57</v>
      </c>
    </row>
    <row r="249" spans="1:11" s="28" customFormat="1" ht="12.75">
      <c r="A249" s="87" t="s">
        <v>51</v>
      </c>
      <c r="B249" s="27" t="s">
        <v>146</v>
      </c>
      <c r="C249" s="27" t="s">
        <v>82</v>
      </c>
      <c r="D249" s="27" t="s">
        <v>175</v>
      </c>
      <c r="E249" s="27" t="s">
        <v>52</v>
      </c>
      <c r="F249" s="27"/>
      <c r="G249" s="201">
        <f>SUM(G250:G252)</f>
        <v>653500</v>
      </c>
      <c r="H249" s="201">
        <f>SUM(H250:H252)</f>
        <v>385750</v>
      </c>
      <c r="I249" s="201">
        <f>SUM(I250:I252)</f>
        <v>345674.1</v>
      </c>
      <c r="J249" s="201">
        <f>SUM(J250:J252)</f>
        <v>40075.899999999994</v>
      </c>
      <c r="K249" s="28" t="s">
        <v>451</v>
      </c>
    </row>
    <row r="250" spans="1:10" s="21" customFormat="1" ht="12.75">
      <c r="A250" s="7" t="s">
        <v>356</v>
      </c>
      <c r="B250" s="20"/>
      <c r="C250" s="20"/>
      <c r="D250" s="20"/>
      <c r="E250" s="20"/>
      <c r="F250" s="20"/>
      <c r="G250" s="214"/>
      <c r="H250" s="214"/>
      <c r="I250" s="215"/>
      <c r="J250" s="192">
        <f t="shared" si="4"/>
        <v>0</v>
      </c>
    </row>
    <row r="251" spans="1:10" s="21" customFormat="1" ht="38.25" customHeight="1">
      <c r="A251" s="7" t="s">
        <v>54</v>
      </c>
      <c r="B251" s="20"/>
      <c r="C251" s="20"/>
      <c r="D251" s="20"/>
      <c r="E251" s="20"/>
      <c r="F251" s="20" t="s">
        <v>384</v>
      </c>
      <c r="G251" s="214">
        <v>271500</v>
      </c>
      <c r="H251" s="214">
        <f>67875+67875</f>
        <v>135750</v>
      </c>
      <c r="I251" s="215">
        <v>113820.5</v>
      </c>
      <c r="J251" s="192">
        <f t="shared" si="4"/>
        <v>21929.5</v>
      </c>
    </row>
    <row r="252" spans="1:10" s="21" customFormat="1" ht="52.5" customHeight="1">
      <c r="A252" s="7" t="s">
        <v>365</v>
      </c>
      <c r="B252" s="20"/>
      <c r="C252" s="20"/>
      <c r="D252" s="20"/>
      <c r="E252" s="20"/>
      <c r="F252" s="20" t="s">
        <v>385</v>
      </c>
      <c r="G252" s="214">
        <v>382000</v>
      </c>
      <c r="H252" s="214">
        <f>150000+100000</f>
        <v>250000</v>
      </c>
      <c r="I252" s="215">
        <v>231853.6</v>
      </c>
      <c r="J252" s="192">
        <f t="shared" si="4"/>
        <v>18146.399999999994</v>
      </c>
    </row>
    <row r="253" spans="1:10" s="28" customFormat="1" ht="14.25" customHeight="1">
      <c r="A253" s="87" t="s">
        <v>56</v>
      </c>
      <c r="B253" s="27" t="s">
        <v>146</v>
      </c>
      <c r="C253" s="27" t="s">
        <v>82</v>
      </c>
      <c r="D253" s="27" t="s">
        <v>175</v>
      </c>
      <c r="E253" s="27" t="s">
        <v>57</v>
      </c>
      <c r="F253" s="27"/>
      <c r="G253" s="201">
        <f>G254+G255+G256+G257</f>
        <v>1444000</v>
      </c>
      <c r="H253" s="201">
        <f>H254+H255+H256+H257</f>
        <v>1285250</v>
      </c>
      <c r="I253" s="201">
        <f>I254+I255+I256+I257</f>
        <v>369813.33</v>
      </c>
      <c r="J253" s="201">
        <f>J254+J255+J256+J257</f>
        <v>915436.6699999999</v>
      </c>
    </row>
    <row r="254" spans="1:10" s="21" customFormat="1" ht="25.5">
      <c r="A254" s="7" t="s">
        <v>357</v>
      </c>
      <c r="B254" s="20"/>
      <c r="C254" s="20"/>
      <c r="D254" s="20"/>
      <c r="E254" s="20"/>
      <c r="F254" s="20" t="s">
        <v>386</v>
      </c>
      <c r="G254" s="214"/>
      <c r="H254" s="214">
        <v>0</v>
      </c>
      <c r="I254" s="215"/>
      <c r="J254" s="192">
        <f t="shared" si="4"/>
        <v>0</v>
      </c>
    </row>
    <row r="255" spans="1:10" s="21" customFormat="1" ht="12.75">
      <c r="A255" s="7" t="s">
        <v>366</v>
      </c>
      <c r="B255" s="20"/>
      <c r="C255" s="20"/>
      <c r="D255" s="20"/>
      <c r="E255" s="20"/>
      <c r="F255" s="20" t="s">
        <v>387</v>
      </c>
      <c r="G255" s="214"/>
      <c r="H255" s="214">
        <v>0</v>
      </c>
      <c r="I255" s="215"/>
      <c r="J255" s="192">
        <f t="shared" si="4"/>
        <v>0</v>
      </c>
    </row>
    <row r="256" spans="1:10" s="21" customFormat="1" ht="12.75">
      <c r="A256" s="7" t="s">
        <v>359</v>
      </c>
      <c r="B256" s="20"/>
      <c r="C256" s="20"/>
      <c r="D256" s="20"/>
      <c r="E256" s="20"/>
      <c r="F256" s="20" t="s">
        <v>388</v>
      </c>
      <c r="G256" s="214">
        <v>509000</v>
      </c>
      <c r="H256" s="214">
        <v>509000</v>
      </c>
      <c r="I256" s="215"/>
      <c r="J256" s="192">
        <f t="shared" si="4"/>
        <v>509000</v>
      </c>
    </row>
    <row r="257" spans="1:10" s="21" customFormat="1" ht="25.5">
      <c r="A257" s="7" t="s">
        <v>367</v>
      </c>
      <c r="B257" s="20"/>
      <c r="C257" s="20"/>
      <c r="D257" s="20"/>
      <c r="E257" s="20"/>
      <c r="F257" s="20" t="s">
        <v>389</v>
      </c>
      <c r="G257" s="214">
        <v>935000</v>
      </c>
      <c r="H257" s="214">
        <f>317500+458750</f>
        <v>776250</v>
      </c>
      <c r="I257" s="215">
        <v>369813.33</v>
      </c>
      <c r="J257" s="192">
        <f t="shared" si="4"/>
        <v>406436.67</v>
      </c>
    </row>
    <row r="258" spans="1:10" s="21" customFormat="1" ht="12.75">
      <c r="A258" s="117" t="s">
        <v>234</v>
      </c>
      <c r="B258" s="44" t="s">
        <v>146</v>
      </c>
      <c r="C258" s="44" t="s">
        <v>82</v>
      </c>
      <c r="D258" s="44" t="s">
        <v>342</v>
      </c>
      <c r="E258" s="44" t="s">
        <v>2</v>
      </c>
      <c r="F258" s="20"/>
      <c r="G258" s="197">
        <f>G259</f>
        <v>898656</v>
      </c>
      <c r="H258" s="197">
        <f>H259</f>
        <v>451578</v>
      </c>
      <c r="I258" s="197">
        <f>I259</f>
        <v>395822.75</v>
      </c>
      <c r="J258" s="197">
        <f>J259</f>
        <v>55755.24999999997</v>
      </c>
    </row>
    <row r="259" spans="1:10" s="21" customFormat="1" ht="12.75">
      <c r="A259" s="123" t="s">
        <v>4</v>
      </c>
      <c r="B259" s="20" t="s">
        <v>146</v>
      </c>
      <c r="C259" s="20" t="s">
        <v>82</v>
      </c>
      <c r="D259" s="20" t="s">
        <v>342</v>
      </c>
      <c r="E259" s="14" t="s">
        <v>5</v>
      </c>
      <c r="F259" s="20"/>
      <c r="G259" s="214">
        <v>898656</v>
      </c>
      <c r="H259" s="214">
        <f>223539+228039</f>
        <v>451578</v>
      </c>
      <c r="I259" s="215">
        <f>I260+I261</f>
        <v>395822.75</v>
      </c>
      <c r="J259" s="215">
        <f>J260+J261</f>
        <v>55755.24999999997</v>
      </c>
    </row>
    <row r="260" spans="1:10" s="21" customFormat="1" ht="12.75">
      <c r="A260" s="118" t="s">
        <v>6</v>
      </c>
      <c r="B260" s="20" t="s">
        <v>146</v>
      </c>
      <c r="C260" s="20" t="s">
        <v>82</v>
      </c>
      <c r="D260" s="20" t="s">
        <v>342</v>
      </c>
      <c r="E260" s="20" t="s">
        <v>7</v>
      </c>
      <c r="F260" s="20" t="s">
        <v>369</v>
      </c>
      <c r="G260" s="214">
        <v>712023</v>
      </c>
      <c r="H260" s="214">
        <f>177131+180631</f>
        <v>357762</v>
      </c>
      <c r="I260" s="215">
        <v>329895.78</v>
      </c>
      <c r="J260" s="192">
        <f t="shared" si="4"/>
        <v>27866.219999999972</v>
      </c>
    </row>
    <row r="261" spans="1:10" s="21" customFormat="1" ht="12.75">
      <c r="A261" s="118" t="s">
        <v>13</v>
      </c>
      <c r="B261" s="20" t="s">
        <v>146</v>
      </c>
      <c r="C261" s="20" t="s">
        <v>82</v>
      </c>
      <c r="D261" s="20" t="s">
        <v>342</v>
      </c>
      <c r="E261" s="20" t="s">
        <v>14</v>
      </c>
      <c r="F261" s="20" t="s">
        <v>369</v>
      </c>
      <c r="G261" s="214">
        <v>186633</v>
      </c>
      <c r="H261" s="214">
        <f>46408+47408</f>
        <v>93816</v>
      </c>
      <c r="I261" s="215">
        <v>65926.97</v>
      </c>
      <c r="J261" s="192">
        <f t="shared" si="4"/>
        <v>27889.03</v>
      </c>
    </row>
    <row r="262" spans="1:10" s="15" customFormat="1" ht="25.5" hidden="1">
      <c r="A262" s="9" t="s">
        <v>87</v>
      </c>
      <c r="B262" s="5" t="s">
        <v>147</v>
      </c>
      <c r="C262" s="5" t="s">
        <v>88</v>
      </c>
      <c r="D262" s="5" t="s">
        <v>2</v>
      </c>
      <c r="E262" s="5"/>
      <c r="F262" s="5"/>
      <c r="G262" s="174"/>
      <c r="H262" s="174"/>
      <c r="I262" s="196"/>
      <c r="J262" s="192">
        <f t="shared" si="4"/>
        <v>0</v>
      </c>
    </row>
    <row r="263" spans="1:10" s="72" customFormat="1" ht="25.5" hidden="1">
      <c r="A263" s="81" t="s">
        <v>136</v>
      </c>
      <c r="B263" s="82" t="s">
        <v>147</v>
      </c>
      <c r="C263" s="82" t="s">
        <v>137</v>
      </c>
      <c r="D263" s="82" t="s">
        <v>138</v>
      </c>
      <c r="E263" s="82"/>
      <c r="F263" s="82"/>
      <c r="G263" s="173"/>
      <c r="H263" s="173"/>
      <c r="I263" s="198"/>
      <c r="J263" s="192">
        <f t="shared" si="4"/>
        <v>0</v>
      </c>
    </row>
    <row r="264" spans="1:10" s="72" customFormat="1" ht="9.75" customHeight="1" hidden="1">
      <c r="A264" s="69" t="s">
        <v>203</v>
      </c>
      <c r="B264" s="70" t="s">
        <v>147</v>
      </c>
      <c r="C264" s="70" t="s">
        <v>137</v>
      </c>
      <c r="D264" s="70" t="s">
        <v>138</v>
      </c>
      <c r="E264" s="70" t="s">
        <v>202</v>
      </c>
      <c r="F264" s="70"/>
      <c r="G264" s="173"/>
      <c r="H264" s="173"/>
      <c r="I264" s="198"/>
      <c r="J264" s="192">
        <f t="shared" si="4"/>
        <v>0</v>
      </c>
    </row>
    <row r="265" spans="1:10" s="30" customFormat="1" ht="12.75" customHeight="1" hidden="1">
      <c r="A265" s="33" t="s">
        <v>89</v>
      </c>
      <c r="B265" s="29"/>
      <c r="C265" s="29"/>
      <c r="D265" s="29"/>
      <c r="E265" s="29"/>
      <c r="F265" s="29"/>
      <c r="G265" s="175"/>
      <c r="H265" s="175"/>
      <c r="I265" s="205"/>
      <c r="J265" s="192">
        <f t="shared" si="4"/>
        <v>0</v>
      </c>
    </row>
    <row r="266" spans="1:10" s="30" customFormat="1" ht="15" customHeight="1" hidden="1">
      <c r="A266" s="33" t="s">
        <v>90</v>
      </c>
      <c r="B266" s="29"/>
      <c r="C266" s="29"/>
      <c r="D266" s="29"/>
      <c r="E266" s="29"/>
      <c r="F266" s="29"/>
      <c r="G266" s="175"/>
      <c r="H266" s="175"/>
      <c r="I266" s="205"/>
      <c r="J266" s="192">
        <f t="shared" si="4"/>
        <v>0</v>
      </c>
    </row>
    <row r="267" spans="1:10" s="15" customFormat="1" ht="12.75">
      <c r="A267" s="47" t="s">
        <v>228</v>
      </c>
      <c r="B267" s="48" t="s">
        <v>149</v>
      </c>
      <c r="C267" s="48" t="s">
        <v>88</v>
      </c>
      <c r="D267" s="48" t="s">
        <v>2</v>
      </c>
      <c r="E267" s="48"/>
      <c r="F267" s="48"/>
      <c r="G267" s="238">
        <f>G268+G300+G304+G315</f>
        <v>9319771</v>
      </c>
      <c r="H267" s="238">
        <f>H268+H300+H304+H315</f>
        <v>7972574</v>
      </c>
      <c r="I267" s="238">
        <f>I268+I300+I304+I315+I303</f>
        <v>3072269.39</v>
      </c>
      <c r="J267" s="238">
        <f>J268+J300+J304+J315+J303</f>
        <v>4900304.61</v>
      </c>
    </row>
    <row r="268" spans="1:10" s="45" customFormat="1" ht="25.5">
      <c r="A268" s="10" t="s">
        <v>248</v>
      </c>
      <c r="B268" s="44" t="s">
        <v>149</v>
      </c>
      <c r="C268" s="44" t="s">
        <v>82</v>
      </c>
      <c r="D268" s="44" t="s">
        <v>69</v>
      </c>
      <c r="E268" s="44"/>
      <c r="F268" s="44"/>
      <c r="G268" s="239">
        <f>G269</f>
        <v>8362000</v>
      </c>
      <c r="H268" s="239">
        <f>H269</f>
        <v>7590890</v>
      </c>
      <c r="I268" s="239">
        <f>I269</f>
        <v>3150195.3</v>
      </c>
      <c r="J268" s="239">
        <f>J269</f>
        <v>4440694.7</v>
      </c>
    </row>
    <row r="269" spans="1:10" s="21" customFormat="1" ht="14.25" customHeight="1">
      <c r="A269" s="12" t="s">
        <v>37</v>
      </c>
      <c r="B269" s="20" t="s">
        <v>149</v>
      </c>
      <c r="C269" s="20" t="s">
        <v>82</v>
      </c>
      <c r="D269" s="20" t="s">
        <v>69</v>
      </c>
      <c r="E269" s="20" t="s">
        <v>38</v>
      </c>
      <c r="F269" s="20"/>
      <c r="G269" s="236">
        <f>G292+G293+G294+G295+G296+G297+G298+G299</f>
        <v>8362000</v>
      </c>
      <c r="H269" s="236">
        <f>H292+H293+H294+H295+H296+H297+H298+H299</f>
        <v>7590890</v>
      </c>
      <c r="I269" s="236">
        <f>I292+I293+I294+I295+I296+I297+I298+I299</f>
        <v>3150195.3</v>
      </c>
      <c r="J269" s="236">
        <f>J292+J293+J294+J295+J296+J297+J298+J299</f>
        <v>4440694.7</v>
      </c>
    </row>
    <row r="270" spans="1:10" s="21" customFormat="1" ht="24.75" customHeight="1">
      <c r="A270" s="19" t="s">
        <v>392</v>
      </c>
      <c r="B270" s="20"/>
      <c r="C270" s="20"/>
      <c r="D270" s="20"/>
      <c r="E270" s="20"/>
      <c r="F270" s="20" t="s">
        <v>382</v>
      </c>
      <c r="G270" s="236">
        <f>SUM(G270:G299)</f>
        <v>0</v>
      </c>
      <c r="H270" s="236">
        <f>SUM(H270:H299)</f>
        <v>0</v>
      </c>
      <c r="I270" s="236">
        <f>SUM(I270:I299)</f>
        <v>0</v>
      </c>
      <c r="J270" s="236">
        <f>SUM(J270:J299)</f>
        <v>0</v>
      </c>
    </row>
    <row r="271" spans="1:10" s="21" customFormat="1" ht="25.5" hidden="1">
      <c r="A271" s="16" t="s">
        <v>226</v>
      </c>
      <c r="B271" s="20"/>
      <c r="C271" s="20"/>
      <c r="D271" s="20"/>
      <c r="E271" s="20"/>
      <c r="F271" s="20"/>
      <c r="G271" s="236"/>
      <c r="H271" s="236"/>
      <c r="I271" s="215"/>
      <c r="J271" s="192">
        <f aca="true" t="shared" si="5" ref="J271:J330">H271-I271</f>
        <v>0</v>
      </c>
    </row>
    <row r="272" spans="1:10" s="21" customFormat="1" ht="51" hidden="1">
      <c r="A272" s="103" t="s">
        <v>227</v>
      </c>
      <c r="B272" s="20"/>
      <c r="C272" s="20"/>
      <c r="D272" s="20"/>
      <c r="E272" s="20"/>
      <c r="F272" s="20"/>
      <c r="G272" s="236"/>
      <c r="H272" s="236"/>
      <c r="I272" s="215"/>
      <c r="J272" s="192">
        <f t="shared" si="5"/>
        <v>0</v>
      </c>
    </row>
    <row r="273" spans="1:10" s="21" customFormat="1" ht="38.25" hidden="1">
      <c r="A273" s="35" t="s">
        <v>95</v>
      </c>
      <c r="B273" s="20"/>
      <c r="C273" s="20"/>
      <c r="D273" s="20"/>
      <c r="E273" s="20"/>
      <c r="F273" s="20"/>
      <c r="G273" s="236"/>
      <c r="H273" s="236"/>
      <c r="I273" s="215"/>
      <c r="J273" s="192">
        <f t="shared" si="5"/>
        <v>0</v>
      </c>
    </row>
    <row r="274" spans="1:10" s="21" customFormat="1" ht="23.25" customHeight="1" hidden="1">
      <c r="A274" s="35" t="s">
        <v>96</v>
      </c>
      <c r="B274" s="20"/>
      <c r="C274" s="20"/>
      <c r="D274" s="20"/>
      <c r="E274" s="20"/>
      <c r="F274" s="20"/>
      <c r="G274" s="236"/>
      <c r="H274" s="236"/>
      <c r="I274" s="215"/>
      <c r="J274" s="192">
        <f t="shared" si="5"/>
        <v>0</v>
      </c>
    </row>
    <row r="275" spans="1:10" s="21" customFormat="1" ht="12.75" hidden="1">
      <c r="A275" s="36" t="s">
        <v>97</v>
      </c>
      <c r="B275" s="20"/>
      <c r="C275" s="20"/>
      <c r="D275" s="20"/>
      <c r="E275" s="20"/>
      <c r="F275" s="20"/>
      <c r="G275" s="236"/>
      <c r="H275" s="236"/>
      <c r="I275" s="215"/>
      <c r="J275" s="192">
        <f t="shared" si="5"/>
        <v>0</v>
      </c>
    </row>
    <row r="276" spans="1:10" s="21" customFormat="1" ht="12.75" hidden="1">
      <c r="A276" s="35" t="s">
        <v>98</v>
      </c>
      <c r="B276" s="20"/>
      <c r="C276" s="20"/>
      <c r="D276" s="20"/>
      <c r="E276" s="20"/>
      <c r="F276" s="20"/>
      <c r="G276" s="236"/>
      <c r="H276" s="236"/>
      <c r="I276" s="215"/>
      <c r="J276" s="192">
        <f t="shared" si="5"/>
        <v>0</v>
      </c>
    </row>
    <row r="277" spans="1:10" s="21" customFormat="1" ht="12.75" hidden="1">
      <c r="A277" s="37" t="s">
        <v>99</v>
      </c>
      <c r="B277" s="20"/>
      <c r="C277" s="20"/>
      <c r="D277" s="20"/>
      <c r="E277" s="20"/>
      <c r="F277" s="20"/>
      <c r="G277" s="236"/>
      <c r="H277" s="236"/>
      <c r="I277" s="215"/>
      <c r="J277" s="192">
        <f t="shared" si="5"/>
        <v>0</v>
      </c>
    </row>
    <row r="278" spans="1:10" s="21" customFormat="1" ht="25.5" hidden="1">
      <c r="A278" s="38" t="s">
        <v>100</v>
      </c>
      <c r="B278" s="20"/>
      <c r="C278" s="20"/>
      <c r="D278" s="20"/>
      <c r="E278" s="20"/>
      <c r="F278" s="20"/>
      <c r="G278" s="236"/>
      <c r="H278" s="236"/>
      <c r="I278" s="215"/>
      <c r="J278" s="192">
        <f t="shared" si="5"/>
        <v>0</v>
      </c>
    </row>
    <row r="279" spans="1:10" s="21" customFormat="1" ht="12.75" hidden="1">
      <c r="A279" s="39" t="s">
        <v>101</v>
      </c>
      <c r="B279" s="20"/>
      <c r="C279" s="20"/>
      <c r="D279" s="20"/>
      <c r="E279" s="20"/>
      <c r="F279" s="20"/>
      <c r="G279" s="236"/>
      <c r="H279" s="236"/>
      <c r="I279" s="215"/>
      <c r="J279" s="192">
        <f t="shared" si="5"/>
        <v>0</v>
      </c>
    </row>
    <row r="280" spans="1:10" s="21" customFormat="1" ht="12.75" hidden="1">
      <c r="A280" s="39" t="s">
        <v>102</v>
      </c>
      <c r="B280" s="20"/>
      <c r="C280" s="20"/>
      <c r="D280" s="20"/>
      <c r="E280" s="20"/>
      <c r="F280" s="20"/>
      <c r="G280" s="236"/>
      <c r="H280" s="236"/>
      <c r="I280" s="215"/>
      <c r="J280" s="192">
        <f t="shared" si="5"/>
        <v>0</v>
      </c>
    </row>
    <row r="281" spans="1:10" s="21" customFormat="1" ht="25.5" hidden="1">
      <c r="A281" s="40" t="s">
        <v>103</v>
      </c>
      <c r="B281" s="20"/>
      <c r="C281" s="20"/>
      <c r="D281" s="20"/>
      <c r="E281" s="20"/>
      <c r="F281" s="20"/>
      <c r="G281" s="236"/>
      <c r="H281" s="236"/>
      <c r="I281" s="215"/>
      <c r="J281" s="192">
        <f t="shared" si="5"/>
        <v>0</v>
      </c>
    </row>
    <row r="282" spans="1:10" s="21" customFormat="1" ht="25.5" hidden="1">
      <c r="A282" s="40" t="s">
        <v>104</v>
      </c>
      <c r="B282" s="20"/>
      <c r="C282" s="20"/>
      <c r="D282" s="20"/>
      <c r="E282" s="20"/>
      <c r="F282" s="20"/>
      <c r="G282" s="236"/>
      <c r="H282" s="236"/>
      <c r="I282" s="215"/>
      <c r="J282" s="192">
        <f t="shared" si="5"/>
        <v>0</v>
      </c>
    </row>
    <row r="283" spans="1:10" s="21" customFormat="1" ht="12.75" hidden="1">
      <c r="A283" s="41" t="s">
        <v>105</v>
      </c>
      <c r="B283" s="20"/>
      <c r="C283" s="20"/>
      <c r="D283" s="20"/>
      <c r="E283" s="20"/>
      <c r="F283" s="20"/>
      <c r="G283" s="236"/>
      <c r="H283" s="236"/>
      <c r="I283" s="215"/>
      <c r="J283" s="192">
        <f t="shared" si="5"/>
        <v>0</v>
      </c>
    </row>
    <row r="284" spans="1:10" s="21" customFormat="1" ht="12.75" hidden="1">
      <c r="A284" s="42" t="s">
        <v>106</v>
      </c>
      <c r="B284" s="20"/>
      <c r="C284" s="20"/>
      <c r="D284" s="20"/>
      <c r="E284" s="20"/>
      <c r="F284" s="20"/>
      <c r="G284" s="236"/>
      <c r="H284" s="236"/>
      <c r="I284" s="215"/>
      <c r="J284" s="192">
        <f t="shared" si="5"/>
        <v>0</v>
      </c>
    </row>
    <row r="285" spans="1:10" s="21" customFormat="1" ht="12.75" hidden="1">
      <c r="A285" s="42" t="s">
        <v>107</v>
      </c>
      <c r="B285" s="20"/>
      <c r="C285" s="20"/>
      <c r="D285" s="20"/>
      <c r="E285" s="20"/>
      <c r="F285" s="20"/>
      <c r="G285" s="236"/>
      <c r="H285" s="236"/>
      <c r="I285" s="215"/>
      <c r="J285" s="192">
        <f t="shared" si="5"/>
        <v>0</v>
      </c>
    </row>
    <row r="286" spans="1:10" s="21" customFormat="1" ht="12.75" hidden="1">
      <c r="A286" s="42" t="s">
        <v>108</v>
      </c>
      <c r="B286" s="20"/>
      <c r="C286" s="20"/>
      <c r="D286" s="20"/>
      <c r="E286" s="20"/>
      <c r="F286" s="20"/>
      <c r="G286" s="236"/>
      <c r="H286" s="236"/>
      <c r="I286" s="215"/>
      <c r="J286" s="192">
        <f t="shared" si="5"/>
        <v>0</v>
      </c>
    </row>
    <row r="287" spans="1:10" s="21" customFormat="1" ht="12.75" hidden="1">
      <c r="A287" s="37" t="s">
        <v>109</v>
      </c>
      <c r="B287" s="20"/>
      <c r="C287" s="20"/>
      <c r="D287" s="20"/>
      <c r="E287" s="20"/>
      <c r="F287" s="20"/>
      <c r="G287" s="236"/>
      <c r="H287" s="236"/>
      <c r="I287" s="215"/>
      <c r="J287" s="192">
        <f t="shared" si="5"/>
        <v>0</v>
      </c>
    </row>
    <row r="288" spans="1:10" s="21" customFormat="1" ht="12.75" hidden="1">
      <c r="A288" s="37" t="s">
        <v>110</v>
      </c>
      <c r="B288" s="20"/>
      <c r="C288" s="20"/>
      <c r="D288" s="20"/>
      <c r="E288" s="20"/>
      <c r="F288" s="20"/>
      <c r="G288" s="236"/>
      <c r="H288" s="236"/>
      <c r="I288" s="215"/>
      <c r="J288" s="192">
        <f t="shared" si="5"/>
        <v>0</v>
      </c>
    </row>
    <row r="289" spans="1:10" s="21" customFormat="1" ht="12.75" hidden="1">
      <c r="A289" s="37" t="s">
        <v>111</v>
      </c>
      <c r="B289" s="20"/>
      <c r="C289" s="20"/>
      <c r="D289" s="20"/>
      <c r="E289" s="20"/>
      <c r="F289" s="20"/>
      <c r="G289" s="236"/>
      <c r="H289" s="236"/>
      <c r="I289" s="215"/>
      <c r="J289" s="192">
        <f t="shared" si="5"/>
        <v>0</v>
      </c>
    </row>
    <row r="290" spans="1:10" s="21" customFormat="1" ht="12.75" hidden="1">
      <c r="A290" s="34" t="s">
        <v>112</v>
      </c>
      <c r="B290" s="20"/>
      <c r="C290" s="20"/>
      <c r="D290" s="20"/>
      <c r="E290" s="20"/>
      <c r="F290" s="20"/>
      <c r="G290" s="236"/>
      <c r="H290" s="236"/>
      <c r="I290" s="215"/>
      <c r="J290" s="192">
        <f t="shared" si="5"/>
        <v>0</v>
      </c>
    </row>
    <row r="291" spans="1:10" s="21" customFormat="1" ht="25.5" hidden="1">
      <c r="A291" s="47" t="s">
        <v>204</v>
      </c>
      <c r="B291" s="48" t="s">
        <v>149</v>
      </c>
      <c r="C291" s="48" t="s">
        <v>205</v>
      </c>
      <c r="D291" s="48" t="s">
        <v>206</v>
      </c>
      <c r="E291" s="48" t="s">
        <v>2</v>
      </c>
      <c r="F291" s="48"/>
      <c r="G291" s="236"/>
      <c r="H291" s="236"/>
      <c r="I291" s="215"/>
      <c r="J291" s="192">
        <f t="shared" si="5"/>
        <v>0</v>
      </c>
    </row>
    <row r="292" spans="1:10" s="45" customFormat="1" ht="27" customHeight="1">
      <c r="A292" s="16" t="s">
        <v>249</v>
      </c>
      <c r="B292" s="44"/>
      <c r="C292" s="44"/>
      <c r="D292" s="44"/>
      <c r="E292" s="44"/>
      <c r="F292" s="20" t="s">
        <v>382</v>
      </c>
      <c r="G292" s="240">
        <v>5202000</v>
      </c>
      <c r="H292" s="240">
        <v>5202000</v>
      </c>
      <c r="I292" s="240">
        <f>1929942.13-453.09</f>
        <v>1929489.0399999998</v>
      </c>
      <c r="J292" s="192">
        <f t="shared" si="5"/>
        <v>3272510.96</v>
      </c>
    </row>
    <row r="293" spans="1:10" s="45" customFormat="1" ht="24.75" customHeight="1">
      <c r="A293" s="162" t="s">
        <v>271</v>
      </c>
      <c r="B293" s="44"/>
      <c r="C293" s="44"/>
      <c r="D293" s="44"/>
      <c r="E293" s="44"/>
      <c r="F293" s="44"/>
      <c r="G293" s="236">
        <v>555000</v>
      </c>
      <c r="H293" s="236">
        <f>61000+279760</f>
        <v>340760</v>
      </c>
      <c r="I293" s="215">
        <f>253658-40000</f>
        <v>213658</v>
      </c>
      <c r="J293" s="192">
        <f t="shared" si="5"/>
        <v>127102</v>
      </c>
    </row>
    <row r="294" spans="1:10" s="45" customFormat="1" ht="25.5" customHeight="1">
      <c r="A294" s="162" t="s">
        <v>270</v>
      </c>
      <c r="B294" s="44"/>
      <c r="C294" s="44"/>
      <c r="D294" s="44"/>
      <c r="E294" s="44"/>
      <c r="F294" s="44"/>
      <c r="G294" s="240">
        <v>40000</v>
      </c>
      <c r="H294" s="240">
        <v>40000</v>
      </c>
      <c r="I294" s="213">
        <v>40000</v>
      </c>
      <c r="J294" s="192">
        <f t="shared" si="5"/>
        <v>0</v>
      </c>
    </row>
    <row r="295" spans="1:10" s="45" customFormat="1" ht="34.5" customHeight="1">
      <c r="A295" s="162" t="s">
        <v>307</v>
      </c>
      <c r="B295" s="44"/>
      <c r="C295" s="44"/>
      <c r="D295" s="44"/>
      <c r="E295" s="44"/>
      <c r="F295" s="44"/>
      <c r="G295" s="236">
        <v>360000</v>
      </c>
      <c r="H295" s="236">
        <f>65000+102500</f>
        <v>167500</v>
      </c>
      <c r="I295" s="215">
        <v>51182</v>
      </c>
      <c r="J295" s="192">
        <f t="shared" si="5"/>
        <v>116318</v>
      </c>
    </row>
    <row r="296" spans="1:10" s="45" customFormat="1" ht="36" customHeight="1">
      <c r="A296" s="162" t="s">
        <v>312</v>
      </c>
      <c r="B296" s="44"/>
      <c r="C296" s="44"/>
      <c r="D296" s="44"/>
      <c r="E296" s="44"/>
      <c r="F296" s="44"/>
      <c r="G296" s="236">
        <v>345000</v>
      </c>
      <c r="H296" s="236">
        <f>40000+90000</f>
        <v>130000</v>
      </c>
      <c r="I296" s="215">
        <v>139450</v>
      </c>
      <c r="J296" s="192">
        <f t="shared" si="5"/>
        <v>-9450</v>
      </c>
    </row>
    <row r="297" spans="1:10" s="45" customFormat="1" ht="18" customHeight="1">
      <c r="A297" s="188" t="s">
        <v>308</v>
      </c>
      <c r="B297" s="20"/>
      <c r="C297" s="20"/>
      <c r="D297" s="20"/>
      <c r="E297" s="20"/>
      <c r="F297" s="20"/>
      <c r="G297" s="236">
        <v>180000</v>
      </c>
      <c r="H297" s="236">
        <v>120000</v>
      </c>
      <c r="I297" s="215">
        <v>2069.76</v>
      </c>
      <c r="J297" s="192">
        <f t="shared" si="5"/>
        <v>117930.24</v>
      </c>
    </row>
    <row r="298" spans="1:10" s="45" customFormat="1" ht="18" customHeight="1">
      <c r="A298" s="188" t="s">
        <v>437</v>
      </c>
      <c r="B298" s="20"/>
      <c r="C298" s="20"/>
      <c r="D298" s="20"/>
      <c r="E298" s="20"/>
      <c r="F298" s="20"/>
      <c r="G298" s="236">
        <v>1500000</v>
      </c>
      <c r="H298" s="236">
        <v>1500000</v>
      </c>
      <c r="I298" s="215">
        <v>684008</v>
      </c>
      <c r="J298" s="192">
        <f t="shared" si="5"/>
        <v>815992</v>
      </c>
    </row>
    <row r="299" spans="1:10" s="21" customFormat="1" ht="24.75" customHeight="1">
      <c r="A299" s="168" t="s">
        <v>289</v>
      </c>
      <c r="B299" s="17"/>
      <c r="C299" s="17"/>
      <c r="D299" s="17"/>
      <c r="E299" s="17"/>
      <c r="F299" s="17"/>
      <c r="G299" s="236">
        <v>180000</v>
      </c>
      <c r="H299" s="236">
        <f>21630+69000</f>
        <v>90630</v>
      </c>
      <c r="I299" s="215">
        <v>90338.5</v>
      </c>
      <c r="J299" s="192">
        <f t="shared" si="5"/>
        <v>291.5</v>
      </c>
    </row>
    <row r="300" spans="1:10" s="45" customFormat="1" ht="14.25" customHeight="1">
      <c r="A300" s="187" t="s">
        <v>47</v>
      </c>
      <c r="B300" s="44" t="s">
        <v>149</v>
      </c>
      <c r="C300" s="44" t="s">
        <v>82</v>
      </c>
      <c r="D300" s="44" t="s">
        <v>69</v>
      </c>
      <c r="E300" s="44" t="s">
        <v>48</v>
      </c>
      <c r="F300" s="44"/>
      <c r="G300" s="239">
        <f>G301</f>
        <v>470000</v>
      </c>
      <c r="H300" s="239">
        <f>H301</f>
        <v>85000</v>
      </c>
      <c r="I300" s="198">
        <f>I301</f>
        <v>25112</v>
      </c>
      <c r="J300" s="198">
        <f>J301</f>
        <v>59888</v>
      </c>
    </row>
    <row r="301" spans="1:10" s="45" customFormat="1" ht="24.75" customHeight="1">
      <c r="A301" s="19" t="s">
        <v>393</v>
      </c>
      <c r="B301" s="44"/>
      <c r="C301" s="44"/>
      <c r="D301" s="44"/>
      <c r="E301" s="44"/>
      <c r="F301" s="20" t="s">
        <v>394</v>
      </c>
      <c r="G301" s="236">
        <f>G302</f>
        <v>470000</v>
      </c>
      <c r="H301" s="236">
        <v>85000</v>
      </c>
      <c r="I301" s="215">
        <f>I302</f>
        <v>25112</v>
      </c>
      <c r="J301" s="215">
        <f>J302</f>
        <v>59888</v>
      </c>
    </row>
    <row r="302" spans="1:10" s="45" customFormat="1" ht="24" customHeight="1">
      <c r="A302" s="16" t="s">
        <v>92</v>
      </c>
      <c r="B302" s="44"/>
      <c r="C302" s="44"/>
      <c r="D302" s="44"/>
      <c r="E302" s="44"/>
      <c r="F302" s="44"/>
      <c r="G302" s="236">
        <v>470000</v>
      </c>
      <c r="H302" s="236">
        <f>42500+42500</f>
        <v>85000</v>
      </c>
      <c r="I302" s="215">
        <v>25112</v>
      </c>
      <c r="J302" s="192">
        <f t="shared" si="5"/>
        <v>59888</v>
      </c>
    </row>
    <row r="303" spans="1:10" s="45" customFormat="1" ht="24" customHeight="1">
      <c r="A303" s="16" t="s">
        <v>447</v>
      </c>
      <c r="B303" s="44" t="s">
        <v>149</v>
      </c>
      <c r="C303" s="44" t="s">
        <v>448</v>
      </c>
      <c r="D303" s="44" t="s">
        <v>449</v>
      </c>
      <c r="E303" s="44"/>
      <c r="F303" s="44"/>
      <c r="G303" s="236"/>
      <c r="H303" s="236"/>
      <c r="I303" s="215">
        <v>-383117</v>
      </c>
      <c r="J303" s="192">
        <f t="shared" si="5"/>
        <v>383117</v>
      </c>
    </row>
    <row r="304" spans="1:10" s="45" customFormat="1" ht="39.75" customHeight="1">
      <c r="A304" s="10" t="s">
        <v>251</v>
      </c>
      <c r="B304" s="44" t="s">
        <v>149</v>
      </c>
      <c r="C304" s="44" t="s">
        <v>301</v>
      </c>
      <c r="D304" s="44" t="s">
        <v>255</v>
      </c>
      <c r="E304" s="44" t="s">
        <v>2</v>
      </c>
      <c r="F304" s="44"/>
      <c r="G304" s="235">
        <f>G305+G307+G312</f>
        <v>352171</v>
      </c>
      <c r="H304" s="235">
        <f>H305+H307+H312</f>
        <v>161084</v>
      </c>
      <c r="I304" s="235">
        <f>I305+I307+I312</f>
        <v>158386.24</v>
      </c>
      <c r="J304" s="235">
        <f>J305+J307+J312</f>
        <v>2697.7599999999984</v>
      </c>
    </row>
    <row r="305" spans="1:10" s="45" customFormat="1" ht="14.25" customHeight="1">
      <c r="A305" s="185" t="s">
        <v>4</v>
      </c>
      <c r="B305" s="14" t="s">
        <v>149</v>
      </c>
      <c r="C305" s="14" t="s">
        <v>301</v>
      </c>
      <c r="D305" s="14" t="s">
        <v>255</v>
      </c>
      <c r="E305" s="14" t="s">
        <v>5</v>
      </c>
      <c r="F305" s="44"/>
      <c r="G305" s="235">
        <f>G306+G311</f>
        <v>249371</v>
      </c>
      <c r="H305" s="235">
        <f>H306+H311</f>
        <v>124684</v>
      </c>
      <c r="I305" s="235">
        <f>I306+I311</f>
        <v>124536.24</v>
      </c>
      <c r="J305" s="235">
        <f>J306+J311</f>
        <v>147.7599999999984</v>
      </c>
    </row>
    <row r="306" spans="1:10" s="45" customFormat="1" ht="15" customHeight="1">
      <c r="A306" s="118" t="s">
        <v>6</v>
      </c>
      <c r="B306" s="17" t="s">
        <v>149</v>
      </c>
      <c r="C306" s="17" t="s">
        <v>301</v>
      </c>
      <c r="D306" s="17" t="s">
        <v>255</v>
      </c>
      <c r="E306" s="17" t="s">
        <v>7</v>
      </c>
      <c r="F306" s="17" t="s">
        <v>396</v>
      </c>
      <c r="G306" s="240">
        <v>197600</v>
      </c>
      <c r="H306" s="240">
        <f>49400+49400</f>
        <v>98800</v>
      </c>
      <c r="I306" s="213">
        <v>98656</v>
      </c>
      <c r="J306" s="192">
        <f t="shared" si="5"/>
        <v>144</v>
      </c>
    </row>
    <row r="307" spans="1:10" s="45" customFormat="1" ht="15.75" customHeight="1">
      <c r="A307" s="118" t="s">
        <v>8</v>
      </c>
      <c r="B307" s="17" t="s">
        <v>149</v>
      </c>
      <c r="C307" s="17" t="s">
        <v>301</v>
      </c>
      <c r="D307" s="17" t="s">
        <v>255</v>
      </c>
      <c r="E307" s="17" t="s">
        <v>9</v>
      </c>
      <c r="F307" s="164"/>
      <c r="G307" s="240">
        <f>G308+G309+G310</f>
        <v>53800</v>
      </c>
      <c r="H307" s="240">
        <f>H308+H309+H310</f>
        <v>36400</v>
      </c>
      <c r="I307" s="240">
        <f>I308+I309+I310</f>
        <v>33850</v>
      </c>
      <c r="J307" s="240">
        <f>J308+J309+J310</f>
        <v>2550</v>
      </c>
    </row>
    <row r="308" spans="1:10" s="45" customFormat="1" ht="15" customHeight="1">
      <c r="A308" s="11" t="s">
        <v>360</v>
      </c>
      <c r="B308" s="4"/>
      <c r="C308" s="4"/>
      <c r="D308" s="4"/>
      <c r="E308" s="4"/>
      <c r="F308" s="4" t="s">
        <v>398</v>
      </c>
      <c r="G308" s="240">
        <v>17400</v>
      </c>
      <c r="H308" s="240">
        <v>0</v>
      </c>
      <c r="I308" s="220"/>
      <c r="J308" s="192">
        <f t="shared" si="5"/>
        <v>0</v>
      </c>
    </row>
    <row r="309" spans="1:10" s="45" customFormat="1" ht="15" customHeight="1">
      <c r="A309" s="12" t="s">
        <v>343</v>
      </c>
      <c r="B309" s="4"/>
      <c r="C309" s="4"/>
      <c r="D309" s="4"/>
      <c r="E309" s="4"/>
      <c r="F309" s="4"/>
      <c r="G309" s="244"/>
      <c r="H309" s="244">
        <v>0</v>
      </c>
      <c r="I309" s="220"/>
      <c r="J309" s="192">
        <f t="shared" si="5"/>
        <v>0</v>
      </c>
    </row>
    <row r="310" spans="1:10" s="45" customFormat="1" ht="15.75" customHeight="1">
      <c r="A310" s="6" t="s">
        <v>361</v>
      </c>
      <c r="B310" s="4"/>
      <c r="C310" s="4"/>
      <c r="D310" s="4"/>
      <c r="E310" s="4"/>
      <c r="F310" s="4" t="s">
        <v>397</v>
      </c>
      <c r="G310" s="240">
        <v>36400</v>
      </c>
      <c r="H310" s="240">
        <v>36400</v>
      </c>
      <c r="I310" s="213">
        <v>33850</v>
      </c>
      <c r="J310" s="192">
        <f t="shared" si="5"/>
        <v>2550</v>
      </c>
    </row>
    <row r="311" spans="1:10" s="45" customFormat="1" ht="15" customHeight="1">
      <c r="A311" s="118" t="s">
        <v>13</v>
      </c>
      <c r="B311" s="17" t="s">
        <v>149</v>
      </c>
      <c r="C311" s="17" t="s">
        <v>301</v>
      </c>
      <c r="D311" s="17" t="s">
        <v>255</v>
      </c>
      <c r="E311" s="17" t="s">
        <v>14</v>
      </c>
      <c r="F311" s="17" t="s">
        <v>396</v>
      </c>
      <c r="G311" s="240">
        <v>51771</v>
      </c>
      <c r="H311" s="240">
        <f>12942+12942</f>
        <v>25884</v>
      </c>
      <c r="I311" s="213">
        <v>25880.24</v>
      </c>
      <c r="J311" s="192">
        <f t="shared" si="5"/>
        <v>3.7599999999983993</v>
      </c>
    </row>
    <row r="312" spans="1:10" s="45" customFormat="1" ht="15" customHeight="1">
      <c r="A312" s="270" t="s">
        <v>442</v>
      </c>
      <c r="B312" s="164" t="s">
        <v>149</v>
      </c>
      <c r="C312" s="164" t="s">
        <v>301</v>
      </c>
      <c r="D312" s="164" t="s">
        <v>255</v>
      </c>
      <c r="E312" s="164" t="s">
        <v>16</v>
      </c>
      <c r="F312" s="17"/>
      <c r="G312" s="244">
        <f>G313+G314</f>
        <v>49000</v>
      </c>
      <c r="H312" s="240"/>
      <c r="I312" s="213"/>
      <c r="J312" s="192">
        <f t="shared" si="5"/>
        <v>0</v>
      </c>
    </row>
    <row r="313" spans="1:10" s="45" customFormat="1" ht="15" customHeight="1">
      <c r="A313" s="118" t="s">
        <v>444</v>
      </c>
      <c r="B313" s="17"/>
      <c r="C313" s="17"/>
      <c r="D313" s="17"/>
      <c r="E313" s="17" t="s">
        <v>19</v>
      </c>
      <c r="F313" s="17" t="s">
        <v>443</v>
      </c>
      <c r="G313" s="240">
        <v>23000</v>
      </c>
      <c r="H313" s="240"/>
      <c r="I313" s="213"/>
      <c r="J313" s="192">
        <f t="shared" si="5"/>
        <v>0</v>
      </c>
    </row>
    <row r="314" spans="1:10" s="45" customFormat="1" ht="15" customHeight="1">
      <c r="A314" s="118" t="s">
        <v>37</v>
      </c>
      <c r="B314" s="17"/>
      <c r="C314" s="17"/>
      <c r="D314" s="17"/>
      <c r="E314" s="17" t="s">
        <v>38</v>
      </c>
      <c r="F314" s="17" t="s">
        <v>400</v>
      </c>
      <c r="G314" s="240">
        <v>26000</v>
      </c>
      <c r="H314" s="240"/>
      <c r="I314" s="213"/>
      <c r="J314" s="192">
        <f t="shared" si="5"/>
        <v>0</v>
      </c>
    </row>
    <row r="315" spans="1:10" s="45" customFormat="1" ht="15" customHeight="1">
      <c r="A315" s="270" t="s">
        <v>438</v>
      </c>
      <c r="B315" s="17"/>
      <c r="C315" s="17"/>
      <c r="D315" s="17"/>
      <c r="E315" s="17"/>
      <c r="F315" s="17"/>
      <c r="G315" s="244">
        <f>G316</f>
        <v>135600</v>
      </c>
      <c r="H315" s="244">
        <f>H316</f>
        <v>135600</v>
      </c>
      <c r="I315" s="244">
        <f>I316</f>
        <v>121692.85</v>
      </c>
      <c r="J315" s="244">
        <f>J316</f>
        <v>13907.149999999998</v>
      </c>
    </row>
    <row r="316" spans="1:10" s="45" customFormat="1" ht="15" customHeight="1">
      <c r="A316" s="118" t="s">
        <v>439</v>
      </c>
      <c r="B316" s="17" t="s">
        <v>149</v>
      </c>
      <c r="C316" s="17" t="s">
        <v>301</v>
      </c>
      <c r="D316" s="17" t="s">
        <v>255</v>
      </c>
      <c r="E316" s="17" t="s">
        <v>5</v>
      </c>
      <c r="F316" s="17" t="s">
        <v>369</v>
      </c>
      <c r="G316" s="240">
        <f>G317+G318</f>
        <v>135600</v>
      </c>
      <c r="H316" s="240">
        <f>H317+H318</f>
        <v>135600</v>
      </c>
      <c r="I316" s="240">
        <f>I317+I318</f>
        <v>121692.85</v>
      </c>
      <c r="J316" s="240">
        <f>J317+J318</f>
        <v>13907.149999999998</v>
      </c>
    </row>
    <row r="317" spans="1:10" s="45" customFormat="1" ht="15" customHeight="1">
      <c r="A317" s="118" t="s">
        <v>441</v>
      </c>
      <c r="B317" s="17"/>
      <c r="C317" s="17"/>
      <c r="D317" s="17"/>
      <c r="E317" s="17" t="s">
        <v>7</v>
      </c>
      <c r="F317" s="17"/>
      <c r="G317" s="240">
        <v>105200</v>
      </c>
      <c r="H317" s="240">
        <v>105200</v>
      </c>
      <c r="I317" s="213">
        <v>105036.69</v>
      </c>
      <c r="J317" s="192">
        <f t="shared" si="5"/>
        <v>163.30999999999767</v>
      </c>
    </row>
    <row r="318" spans="1:10" s="45" customFormat="1" ht="15" customHeight="1">
      <c r="A318" s="118" t="s">
        <v>440</v>
      </c>
      <c r="B318" s="17"/>
      <c r="C318" s="17"/>
      <c r="D318" s="17"/>
      <c r="E318" s="17" t="s">
        <v>14</v>
      </c>
      <c r="F318" s="17"/>
      <c r="G318" s="240">
        <v>30400</v>
      </c>
      <c r="H318" s="240">
        <v>30400</v>
      </c>
      <c r="I318" s="213">
        <v>16656.16</v>
      </c>
      <c r="J318" s="192">
        <f t="shared" si="5"/>
        <v>13743.84</v>
      </c>
    </row>
    <row r="319" spans="1:10" s="45" customFormat="1" ht="17.25" customHeight="1">
      <c r="A319" s="47" t="s">
        <v>297</v>
      </c>
      <c r="B319" s="82" t="s">
        <v>298</v>
      </c>
      <c r="C319" s="82" t="s">
        <v>88</v>
      </c>
      <c r="D319" s="82" t="s">
        <v>2</v>
      </c>
      <c r="E319" s="82"/>
      <c r="F319" s="82"/>
      <c r="G319" s="238">
        <f>G320+G323</f>
        <v>1494387</v>
      </c>
      <c r="H319" s="238">
        <f>H320</f>
        <v>908198</v>
      </c>
      <c r="I319" s="238">
        <f>I320</f>
        <v>850498</v>
      </c>
      <c r="J319" s="192">
        <f t="shared" si="5"/>
        <v>57700</v>
      </c>
    </row>
    <row r="320" spans="1:10" s="45" customFormat="1" ht="23.25" customHeight="1">
      <c r="A320" s="16" t="s">
        <v>299</v>
      </c>
      <c r="B320" s="44" t="s">
        <v>300</v>
      </c>
      <c r="C320" s="44" t="s">
        <v>301</v>
      </c>
      <c r="D320" s="44" t="s">
        <v>302</v>
      </c>
      <c r="E320" s="44" t="s">
        <v>2</v>
      </c>
      <c r="F320" s="44"/>
      <c r="G320" s="241">
        <f>G321+G322</f>
        <v>1172387</v>
      </c>
      <c r="H320" s="241">
        <f>H321+H322+H323</f>
        <v>908198</v>
      </c>
      <c r="I320" s="241">
        <f>I321+I322+I323</f>
        <v>850498</v>
      </c>
      <c r="J320" s="192">
        <f t="shared" si="5"/>
        <v>57700</v>
      </c>
    </row>
    <row r="321" spans="1:10" s="45" customFormat="1" ht="19.5" customHeight="1">
      <c r="A321" s="19" t="s">
        <v>6</v>
      </c>
      <c r="B321" s="20" t="s">
        <v>300</v>
      </c>
      <c r="C321" s="20" t="s">
        <v>301</v>
      </c>
      <c r="D321" s="20" t="s">
        <v>302</v>
      </c>
      <c r="E321" s="20" t="s">
        <v>7</v>
      </c>
      <c r="F321" s="20" t="s">
        <v>395</v>
      </c>
      <c r="G321" s="242">
        <v>929000</v>
      </c>
      <c r="H321" s="242">
        <f>232250+232250</f>
        <v>464500</v>
      </c>
      <c r="I321" s="215">
        <v>464500</v>
      </c>
      <c r="J321" s="192">
        <f t="shared" si="5"/>
        <v>0</v>
      </c>
    </row>
    <row r="322" spans="1:10" s="45" customFormat="1" ht="19.5" customHeight="1">
      <c r="A322" s="19" t="s">
        <v>13</v>
      </c>
      <c r="B322" s="20" t="s">
        <v>300</v>
      </c>
      <c r="C322" s="20" t="s">
        <v>301</v>
      </c>
      <c r="D322" s="20" t="s">
        <v>302</v>
      </c>
      <c r="E322" s="20" t="s">
        <v>14</v>
      </c>
      <c r="F322" s="20" t="s">
        <v>395</v>
      </c>
      <c r="G322" s="242">
        <v>243387</v>
      </c>
      <c r="H322" s="242">
        <f>60849+60849</f>
        <v>121698</v>
      </c>
      <c r="I322" s="215">
        <v>121698</v>
      </c>
      <c r="J322" s="192">
        <f t="shared" si="5"/>
        <v>0</v>
      </c>
    </row>
    <row r="323" spans="1:10" s="45" customFormat="1" ht="19.5" customHeight="1">
      <c r="A323" s="270" t="s">
        <v>438</v>
      </c>
      <c r="B323" s="20"/>
      <c r="C323" s="20"/>
      <c r="D323" s="20"/>
      <c r="E323" s="20"/>
      <c r="F323" s="20"/>
      <c r="G323" s="243">
        <f>G324</f>
        <v>322000</v>
      </c>
      <c r="H323" s="243">
        <f>H324</f>
        <v>322000</v>
      </c>
      <c r="I323" s="243">
        <f>I324</f>
        <v>264300</v>
      </c>
      <c r="J323" s="192">
        <f t="shared" si="5"/>
        <v>57700</v>
      </c>
    </row>
    <row r="324" spans="1:10" s="45" customFormat="1" ht="19.5" customHeight="1">
      <c r="A324" s="118" t="s">
        <v>439</v>
      </c>
      <c r="B324" s="20" t="s">
        <v>300</v>
      </c>
      <c r="C324" s="20" t="s">
        <v>301</v>
      </c>
      <c r="D324" s="20" t="s">
        <v>302</v>
      </c>
      <c r="E324" s="17" t="s">
        <v>5</v>
      </c>
      <c r="F324" s="20" t="s">
        <v>369</v>
      </c>
      <c r="G324" s="242">
        <f>G325+G326+G327</f>
        <v>322000</v>
      </c>
      <c r="H324" s="242">
        <f>H325+H326+H327</f>
        <v>322000</v>
      </c>
      <c r="I324" s="242">
        <f>I325+I326+I327</f>
        <v>264300</v>
      </c>
      <c r="J324" s="192">
        <f t="shared" si="5"/>
        <v>57700</v>
      </c>
    </row>
    <row r="325" spans="1:10" s="45" customFormat="1" ht="19.5" customHeight="1">
      <c r="A325" s="118" t="s">
        <v>441</v>
      </c>
      <c r="B325" s="20"/>
      <c r="C325" s="20"/>
      <c r="D325" s="20"/>
      <c r="E325" s="20" t="s">
        <v>7</v>
      </c>
      <c r="F325" s="20"/>
      <c r="G325" s="242">
        <v>152000</v>
      </c>
      <c r="H325" s="242">
        <v>152000</v>
      </c>
      <c r="I325" s="215">
        <v>150000</v>
      </c>
      <c r="J325" s="192">
        <f t="shared" si="5"/>
        <v>2000</v>
      </c>
    </row>
    <row r="326" spans="1:10" s="45" customFormat="1" ht="19.5" customHeight="1">
      <c r="A326" s="118" t="s">
        <v>440</v>
      </c>
      <c r="B326" s="20"/>
      <c r="C326" s="20"/>
      <c r="D326" s="20"/>
      <c r="E326" s="20" t="s">
        <v>14</v>
      </c>
      <c r="F326" s="20"/>
      <c r="G326" s="242">
        <v>40000</v>
      </c>
      <c r="H326" s="242">
        <v>40000</v>
      </c>
      <c r="I326" s="215"/>
      <c r="J326" s="192">
        <f t="shared" si="5"/>
        <v>40000</v>
      </c>
    </row>
    <row r="327" spans="1:10" s="45" customFormat="1" ht="19.5" customHeight="1">
      <c r="A327" s="6" t="s">
        <v>361</v>
      </c>
      <c r="B327" s="20"/>
      <c r="C327" s="20"/>
      <c r="D327" s="20"/>
      <c r="E327" s="20" t="s">
        <v>9</v>
      </c>
      <c r="F327" s="20"/>
      <c r="G327" s="242">
        <v>130000</v>
      </c>
      <c r="H327" s="242">
        <v>130000</v>
      </c>
      <c r="I327" s="215">
        <v>114300</v>
      </c>
      <c r="J327" s="192">
        <f t="shared" si="5"/>
        <v>15700</v>
      </c>
    </row>
    <row r="328" spans="1:10" s="45" customFormat="1" ht="26.25" customHeight="1">
      <c r="A328" s="47" t="s">
        <v>250</v>
      </c>
      <c r="B328" s="82" t="s">
        <v>252</v>
      </c>
      <c r="C328" s="82" t="s">
        <v>88</v>
      </c>
      <c r="D328" s="82"/>
      <c r="E328" s="82"/>
      <c r="F328" s="82"/>
      <c r="G328" s="238">
        <f aca="true" t="shared" si="6" ref="G328:I331">G329</f>
        <v>795850</v>
      </c>
      <c r="H328" s="238">
        <f t="shared" si="6"/>
        <v>417930</v>
      </c>
      <c r="I328" s="238">
        <f t="shared" si="6"/>
        <v>2831.3</v>
      </c>
      <c r="J328" s="192">
        <f t="shared" si="5"/>
        <v>415098.7</v>
      </c>
    </row>
    <row r="329" spans="1:10" s="45" customFormat="1" ht="39.75" customHeight="1">
      <c r="A329" s="10" t="s">
        <v>260</v>
      </c>
      <c r="B329" s="44" t="s">
        <v>150</v>
      </c>
      <c r="C329" s="44" t="s">
        <v>113</v>
      </c>
      <c r="D329" s="44" t="s">
        <v>2</v>
      </c>
      <c r="E329" s="44"/>
      <c r="F329" s="44"/>
      <c r="G329" s="243">
        <f t="shared" si="6"/>
        <v>795850</v>
      </c>
      <c r="H329" s="243">
        <f t="shared" si="6"/>
        <v>417930</v>
      </c>
      <c r="I329" s="243">
        <f t="shared" si="6"/>
        <v>2831.3</v>
      </c>
      <c r="J329" s="192">
        <f t="shared" si="5"/>
        <v>415098.7</v>
      </c>
    </row>
    <row r="330" spans="1:10" s="68" customFormat="1" ht="57.75" customHeight="1">
      <c r="A330" s="149" t="s">
        <v>114</v>
      </c>
      <c r="B330" s="70" t="s">
        <v>150</v>
      </c>
      <c r="C330" s="88" t="s">
        <v>113</v>
      </c>
      <c r="D330" s="88" t="s">
        <v>43</v>
      </c>
      <c r="E330" s="88" t="s">
        <v>2</v>
      </c>
      <c r="F330" s="88"/>
      <c r="G330" s="247">
        <f t="shared" si="6"/>
        <v>795850</v>
      </c>
      <c r="H330" s="247">
        <f t="shared" si="6"/>
        <v>417930</v>
      </c>
      <c r="I330" s="247">
        <f>I331</f>
        <v>2831.3</v>
      </c>
      <c r="J330" s="192">
        <f t="shared" si="5"/>
        <v>415098.7</v>
      </c>
    </row>
    <row r="331" spans="1:10" s="68" customFormat="1" ht="12.75" customHeight="1">
      <c r="A331" s="152" t="s">
        <v>15</v>
      </c>
      <c r="B331" s="153" t="s">
        <v>150</v>
      </c>
      <c r="C331" s="153" t="s">
        <v>113</v>
      </c>
      <c r="D331" s="153" t="s">
        <v>43</v>
      </c>
      <c r="E331" s="153" t="s">
        <v>16</v>
      </c>
      <c r="F331" s="156"/>
      <c r="G331" s="248">
        <f t="shared" si="6"/>
        <v>795850</v>
      </c>
      <c r="H331" s="248">
        <f t="shared" si="6"/>
        <v>417930</v>
      </c>
      <c r="I331" s="248">
        <f t="shared" si="6"/>
        <v>2831.3</v>
      </c>
      <c r="J331" s="192">
        <f aca="true" t="shared" si="7" ref="J331:J394">H331-I331</f>
        <v>415098.7</v>
      </c>
    </row>
    <row r="332" spans="1:10" s="68" customFormat="1" ht="14.25" customHeight="1">
      <c r="A332" s="154" t="s">
        <v>37</v>
      </c>
      <c r="B332" s="153" t="s">
        <v>150</v>
      </c>
      <c r="C332" s="153" t="s">
        <v>113</v>
      </c>
      <c r="D332" s="153" t="s">
        <v>43</v>
      </c>
      <c r="E332" s="153" t="s">
        <v>38</v>
      </c>
      <c r="F332" s="150"/>
      <c r="G332" s="248">
        <f>G333</f>
        <v>795850</v>
      </c>
      <c r="H332" s="248">
        <f>H333</f>
        <v>417930</v>
      </c>
      <c r="I332" s="248">
        <f>I333+I334</f>
        <v>2831.3</v>
      </c>
      <c r="J332" s="192">
        <f t="shared" si="7"/>
        <v>415098.7</v>
      </c>
    </row>
    <row r="333" spans="1:10" s="21" customFormat="1" ht="25.5" customHeight="1">
      <c r="A333" s="12" t="s">
        <v>407</v>
      </c>
      <c r="B333" s="20"/>
      <c r="C333" s="20"/>
      <c r="D333" s="20"/>
      <c r="E333" s="20"/>
      <c r="F333" s="153" t="s">
        <v>391</v>
      </c>
      <c r="G333" s="236">
        <v>795850</v>
      </c>
      <c r="H333" s="236">
        <f>191465+226465</f>
        <v>417930</v>
      </c>
      <c r="I333" s="215"/>
      <c r="J333" s="192">
        <f t="shared" si="7"/>
        <v>417930</v>
      </c>
    </row>
    <row r="334" spans="1:10" s="21" customFormat="1" ht="24" customHeight="1">
      <c r="A334" s="168" t="s">
        <v>304</v>
      </c>
      <c r="B334" s="14"/>
      <c r="C334" s="14"/>
      <c r="D334" s="14"/>
      <c r="E334" s="14"/>
      <c r="F334" s="153" t="s">
        <v>391</v>
      </c>
      <c r="G334" s="249">
        <v>350000</v>
      </c>
      <c r="H334" s="249">
        <f>80000+115000</f>
        <v>195000</v>
      </c>
      <c r="I334" s="202">
        <v>2831.3</v>
      </c>
      <c r="J334" s="192">
        <f t="shared" si="7"/>
        <v>192168.7</v>
      </c>
    </row>
    <row r="335" spans="1:10" s="15" customFormat="1" ht="14.25" customHeight="1">
      <c r="A335" s="47" t="s">
        <v>62</v>
      </c>
      <c r="B335" s="48" t="s">
        <v>151</v>
      </c>
      <c r="C335" s="48" t="s">
        <v>88</v>
      </c>
      <c r="D335" s="48" t="s">
        <v>2</v>
      </c>
      <c r="E335" s="48"/>
      <c r="F335" s="48"/>
      <c r="G335" s="238">
        <f>G336</f>
        <v>819680</v>
      </c>
      <c r="H335" s="238">
        <f>H336</f>
        <v>709840</v>
      </c>
      <c r="I335" s="238">
        <f>I336</f>
        <v>554624.8200000001</v>
      </c>
      <c r="J335" s="192">
        <f t="shared" si="7"/>
        <v>155215.17999999993</v>
      </c>
    </row>
    <row r="336" spans="1:10" s="45" customFormat="1" ht="25.5" customHeight="1">
      <c r="A336" s="43" t="s">
        <v>63</v>
      </c>
      <c r="B336" s="44" t="s">
        <v>152</v>
      </c>
      <c r="C336" s="44" t="s">
        <v>88</v>
      </c>
      <c r="D336" s="44" t="s">
        <v>2</v>
      </c>
      <c r="E336" s="44"/>
      <c r="F336" s="44"/>
      <c r="G336" s="239">
        <f>SUM(,G340)+G338</f>
        <v>819680</v>
      </c>
      <c r="H336" s="239">
        <f>SUM(,H340)+H338</f>
        <v>709840</v>
      </c>
      <c r="I336" s="239">
        <f>I337+I340</f>
        <v>554624.8200000001</v>
      </c>
      <c r="J336" s="192">
        <f t="shared" si="7"/>
        <v>155215.17999999993</v>
      </c>
    </row>
    <row r="337" spans="1:10" s="45" customFormat="1" ht="26.25" customHeight="1">
      <c r="A337" s="43" t="s">
        <v>117</v>
      </c>
      <c r="B337" s="44" t="s">
        <v>152</v>
      </c>
      <c r="C337" s="44" t="s">
        <v>118</v>
      </c>
      <c r="D337" s="44" t="s">
        <v>119</v>
      </c>
      <c r="E337" s="44"/>
      <c r="F337" s="44"/>
      <c r="G337" s="239">
        <v>600000</v>
      </c>
      <c r="H337" s="239">
        <f>H338</f>
        <v>600000</v>
      </c>
      <c r="I337" s="239">
        <f>I338</f>
        <v>524129.4</v>
      </c>
      <c r="J337" s="192">
        <f t="shared" si="7"/>
        <v>75870.59999999998</v>
      </c>
    </row>
    <row r="338" spans="1:10" s="45" customFormat="1" ht="26.25" customHeight="1">
      <c r="A338" s="43" t="s">
        <v>37</v>
      </c>
      <c r="B338" s="44" t="s">
        <v>152</v>
      </c>
      <c r="C338" s="44" t="s">
        <v>118</v>
      </c>
      <c r="D338" s="44" t="s">
        <v>119</v>
      </c>
      <c r="E338" s="44" t="s">
        <v>38</v>
      </c>
      <c r="F338" s="44" t="s">
        <v>382</v>
      </c>
      <c r="G338" s="239">
        <v>600000</v>
      </c>
      <c r="H338" s="239">
        <v>600000</v>
      </c>
      <c r="I338" s="198">
        <v>524129.4</v>
      </c>
      <c r="J338" s="192">
        <f t="shared" si="7"/>
        <v>75870.59999999998</v>
      </c>
    </row>
    <row r="339" spans="1:10" s="45" customFormat="1" ht="15" customHeight="1">
      <c r="A339" s="43" t="s">
        <v>120</v>
      </c>
      <c r="B339" s="44" t="s">
        <v>152</v>
      </c>
      <c r="C339" s="44" t="s">
        <v>118</v>
      </c>
      <c r="D339" s="44" t="s">
        <v>69</v>
      </c>
      <c r="E339" s="44" t="s">
        <v>2</v>
      </c>
      <c r="F339" s="44"/>
      <c r="G339" s="239">
        <f>SUM(G341:G346)</f>
        <v>219680</v>
      </c>
      <c r="H339" s="239">
        <f>SUM(H341:H346)</f>
        <v>109840</v>
      </c>
      <c r="I339" s="239">
        <f>SUM(I341:I346)</f>
        <v>30495.42</v>
      </c>
      <c r="J339" s="192">
        <f t="shared" si="7"/>
        <v>79344.58</v>
      </c>
    </row>
    <row r="340" spans="1:10" s="15" customFormat="1" ht="16.5" customHeight="1">
      <c r="A340" s="10" t="s">
        <v>4</v>
      </c>
      <c r="B340" s="14" t="s">
        <v>152</v>
      </c>
      <c r="C340" s="14" t="s">
        <v>201</v>
      </c>
      <c r="D340" s="14" t="s">
        <v>69</v>
      </c>
      <c r="E340" s="14" t="s">
        <v>5</v>
      </c>
      <c r="F340" s="14"/>
      <c r="G340" s="235">
        <f>SUM(G341,G342,G346)</f>
        <v>219680</v>
      </c>
      <c r="H340" s="235">
        <f>SUM(H341,H342,H346)</f>
        <v>109840</v>
      </c>
      <c r="I340" s="235">
        <f>SUM(I341,I342,I346)</f>
        <v>30495.42</v>
      </c>
      <c r="J340" s="192">
        <f t="shared" si="7"/>
        <v>79344.58</v>
      </c>
    </row>
    <row r="341" spans="1:10" s="18" customFormat="1" ht="15.75" customHeight="1">
      <c r="A341" s="16" t="s">
        <v>6</v>
      </c>
      <c r="B341" s="27" t="s">
        <v>152</v>
      </c>
      <c r="C341" s="27" t="s">
        <v>201</v>
      </c>
      <c r="D341" s="27" t="s">
        <v>69</v>
      </c>
      <c r="E341" s="17" t="s">
        <v>7</v>
      </c>
      <c r="F341" s="17" t="s">
        <v>369</v>
      </c>
      <c r="G341" s="240">
        <v>174072</v>
      </c>
      <c r="H341" s="240">
        <f>43518+43518</f>
        <v>87036</v>
      </c>
      <c r="I341" s="213">
        <v>7691.42</v>
      </c>
      <c r="J341" s="192">
        <f t="shared" si="7"/>
        <v>79344.58</v>
      </c>
    </row>
    <row r="342" spans="1:10" s="18" customFormat="1" ht="22.5" customHeight="1" hidden="1">
      <c r="A342" s="16" t="s">
        <v>8</v>
      </c>
      <c r="B342" s="27" t="s">
        <v>152</v>
      </c>
      <c r="C342" s="27" t="s">
        <v>201</v>
      </c>
      <c r="D342" s="27" t="s">
        <v>119</v>
      </c>
      <c r="E342" s="17" t="s">
        <v>9</v>
      </c>
      <c r="F342" s="17"/>
      <c r="G342" s="240"/>
      <c r="H342" s="240">
        <v>0</v>
      </c>
      <c r="I342" s="213"/>
      <c r="J342" s="192">
        <f t="shared" si="7"/>
        <v>0</v>
      </c>
    </row>
    <row r="343" spans="1:10" ht="1.5" customHeight="1" hidden="1">
      <c r="A343" s="11" t="s">
        <v>10</v>
      </c>
      <c r="B343" s="4"/>
      <c r="C343" s="4"/>
      <c r="D343" s="4"/>
      <c r="E343" s="4"/>
      <c r="F343" s="4"/>
      <c r="G343" s="250"/>
      <c r="H343" s="250">
        <v>0</v>
      </c>
      <c r="I343" s="199"/>
      <c r="J343" s="192">
        <f t="shared" si="7"/>
        <v>0</v>
      </c>
    </row>
    <row r="344" spans="1:10" ht="21" customHeight="1" hidden="1">
      <c r="A344" s="12" t="s">
        <v>11</v>
      </c>
      <c r="B344" s="4"/>
      <c r="C344" s="4"/>
      <c r="D344" s="4"/>
      <c r="E344" s="4"/>
      <c r="F344" s="4"/>
      <c r="G344" s="250"/>
      <c r="H344" s="250">
        <v>0</v>
      </c>
      <c r="I344" s="199"/>
      <c r="J344" s="192">
        <f t="shared" si="7"/>
        <v>0</v>
      </c>
    </row>
    <row r="345" spans="1:10" ht="24" customHeight="1" hidden="1">
      <c r="A345" s="6" t="s">
        <v>12</v>
      </c>
      <c r="B345" s="4"/>
      <c r="C345" s="4"/>
      <c r="D345" s="4"/>
      <c r="E345" s="4"/>
      <c r="F345" s="4" t="s">
        <v>184</v>
      </c>
      <c r="G345" s="250"/>
      <c r="H345" s="250">
        <v>0</v>
      </c>
      <c r="I345" s="199"/>
      <c r="J345" s="192">
        <f t="shared" si="7"/>
        <v>0</v>
      </c>
    </row>
    <row r="346" spans="1:10" s="18" customFormat="1" ht="15" customHeight="1">
      <c r="A346" s="16" t="s">
        <v>13</v>
      </c>
      <c r="B346" s="27" t="s">
        <v>152</v>
      </c>
      <c r="C346" s="27" t="s">
        <v>201</v>
      </c>
      <c r="D346" s="27" t="s">
        <v>69</v>
      </c>
      <c r="E346" s="17" t="s">
        <v>14</v>
      </c>
      <c r="F346" s="17" t="s">
        <v>369</v>
      </c>
      <c r="G346" s="240">
        <v>45608</v>
      </c>
      <c r="H346" s="240">
        <f>11402+11402</f>
        <v>22804</v>
      </c>
      <c r="I346" s="213">
        <v>22804</v>
      </c>
      <c r="J346" s="192">
        <f t="shared" si="7"/>
        <v>0</v>
      </c>
    </row>
    <row r="347" spans="1:10" s="18" customFormat="1" ht="27.75" customHeight="1" hidden="1">
      <c r="A347" s="10" t="s">
        <v>15</v>
      </c>
      <c r="B347" s="44" t="s">
        <v>152</v>
      </c>
      <c r="C347" s="44" t="s">
        <v>201</v>
      </c>
      <c r="D347" s="44" t="s">
        <v>119</v>
      </c>
      <c r="E347" s="14" t="s">
        <v>16</v>
      </c>
      <c r="F347" s="14"/>
      <c r="G347" s="240"/>
      <c r="H347" s="240"/>
      <c r="I347" s="213"/>
      <c r="J347" s="192">
        <f t="shared" si="7"/>
        <v>0</v>
      </c>
    </row>
    <row r="348" spans="1:10" s="18" customFormat="1" ht="21" customHeight="1" hidden="1">
      <c r="A348" s="16" t="s">
        <v>17</v>
      </c>
      <c r="B348" s="27" t="s">
        <v>152</v>
      </c>
      <c r="C348" s="27" t="s">
        <v>201</v>
      </c>
      <c r="D348" s="27" t="s">
        <v>119</v>
      </c>
      <c r="E348" s="17" t="s">
        <v>18</v>
      </c>
      <c r="F348" s="17"/>
      <c r="G348" s="240"/>
      <c r="H348" s="240"/>
      <c r="I348" s="213"/>
      <c r="J348" s="192">
        <f t="shared" si="7"/>
        <v>0</v>
      </c>
    </row>
    <row r="349" spans="1:10" s="18" customFormat="1" ht="28.5" customHeight="1" hidden="1">
      <c r="A349" s="16" t="s">
        <v>21</v>
      </c>
      <c r="B349" s="27" t="s">
        <v>152</v>
      </c>
      <c r="C349" s="27" t="s">
        <v>201</v>
      </c>
      <c r="D349" s="27" t="s">
        <v>119</v>
      </c>
      <c r="E349" s="17" t="s">
        <v>19</v>
      </c>
      <c r="F349" s="17"/>
      <c r="G349" s="240"/>
      <c r="H349" s="240"/>
      <c r="I349" s="213"/>
      <c r="J349" s="192">
        <f t="shared" si="7"/>
        <v>0</v>
      </c>
    </row>
    <row r="350" spans="1:10" s="18" customFormat="1" ht="30" customHeight="1" hidden="1">
      <c r="A350" s="11" t="s">
        <v>20</v>
      </c>
      <c r="B350" s="4"/>
      <c r="C350" s="4"/>
      <c r="D350" s="4"/>
      <c r="E350" s="4"/>
      <c r="F350" s="4" t="s">
        <v>183</v>
      </c>
      <c r="G350" s="240"/>
      <c r="H350" s="240"/>
      <c r="I350" s="213"/>
      <c r="J350" s="192">
        <f t="shared" si="7"/>
        <v>0</v>
      </c>
    </row>
    <row r="351" spans="1:10" s="21" customFormat="1" ht="12.75" hidden="1">
      <c r="A351" s="19"/>
      <c r="B351" s="20"/>
      <c r="C351" s="20"/>
      <c r="D351" s="20"/>
      <c r="E351" s="20"/>
      <c r="F351" s="20"/>
      <c r="G351" s="236"/>
      <c r="H351" s="236"/>
      <c r="I351" s="215"/>
      <c r="J351" s="192">
        <f t="shared" si="7"/>
        <v>0</v>
      </c>
    </row>
    <row r="352" spans="1:10" s="15" customFormat="1" ht="12.75">
      <c r="A352" s="159" t="s">
        <v>64</v>
      </c>
      <c r="B352" s="48" t="s">
        <v>153</v>
      </c>
      <c r="C352" s="48" t="s">
        <v>88</v>
      </c>
      <c r="D352" s="48" t="s">
        <v>2</v>
      </c>
      <c r="E352" s="48"/>
      <c r="F352" s="48"/>
      <c r="G352" s="238">
        <f>G365+G368+G366+G370+G371+G367+G369</f>
        <v>9395336.46</v>
      </c>
      <c r="H352" s="238">
        <f>H365+H368+H366+H370+H371+H367+H369</f>
        <v>4043452.5599999996</v>
      </c>
      <c r="I352" s="238">
        <f>I365+I368+I366+I370+I371+I367+I369</f>
        <v>1758362.51</v>
      </c>
      <c r="J352" s="192">
        <f t="shared" si="7"/>
        <v>2285090.05</v>
      </c>
    </row>
    <row r="353" spans="1:10" s="45" customFormat="1" ht="12.75" hidden="1">
      <c r="A353" s="43" t="s">
        <v>65</v>
      </c>
      <c r="B353" s="44" t="s">
        <v>154</v>
      </c>
      <c r="C353" s="44" t="s">
        <v>88</v>
      </c>
      <c r="D353" s="44" t="s">
        <v>2</v>
      </c>
      <c r="E353" s="44"/>
      <c r="F353" s="44"/>
      <c r="G353" s="239"/>
      <c r="H353" s="239"/>
      <c r="I353" s="198"/>
      <c r="J353" s="192">
        <f t="shared" si="7"/>
        <v>0</v>
      </c>
    </row>
    <row r="354" spans="1:10" s="68" customFormat="1" ht="12.75" hidden="1">
      <c r="A354" s="66" t="s">
        <v>121</v>
      </c>
      <c r="B354" s="50" t="s">
        <v>154</v>
      </c>
      <c r="C354" s="50" t="s">
        <v>122</v>
      </c>
      <c r="D354" s="50" t="s">
        <v>2</v>
      </c>
      <c r="E354" s="50"/>
      <c r="F354" s="50"/>
      <c r="G354" s="247"/>
      <c r="H354" s="247"/>
      <c r="I354" s="226"/>
      <c r="J354" s="192">
        <f t="shared" si="7"/>
        <v>0</v>
      </c>
    </row>
    <row r="355" spans="1:10" s="45" customFormat="1" ht="12.75" hidden="1">
      <c r="A355" s="43" t="s">
        <v>217</v>
      </c>
      <c r="B355" s="44" t="s">
        <v>154</v>
      </c>
      <c r="C355" s="44" t="s">
        <v>122</v>
      </c>
      <c r="D355" s="44" t="s">
        <v>123</v>
      </c>
      <c r="E355" s="44"/>
      <c r="F355" s="44"/>
      <c r="G355" s="239"/>
      <c r="H355" s="239"/>
      <c r="I355" s="198"/>
      <c r="J355" s="192">
        <f t="shared" si="7"/>
        <v>0</v>
      </c>
    </row>
    <row r="356" spans="1:10" s="45" customFormat="1" ht="25.5" hidden="1">
      <c r="A356" s="43" t="s">
        <v>213</v>
      </c>
      <c r="B356" s="44" t="s">
        <v>154</v>
      </c>
      <c r="C356" s="44" t="s">
        <v>122</v>
      </c>
      <c r="D356" s="44" t="s">
        <v>123</v>
      </c>
      <c r="E356" s="44" t="s">
        <v>212</v>
      </c>
      <c r="F356" s="44"/>
      <c r="G356" s="239"/>
      <c r="H356" s="239"/>
      <c r="I356" s="198"/>
      <c r="J356" s="192">
        <f t="shared" si="7"/>
        <v>0</v>
      </c>
    </row>
    <row r="357" spans="1:10" s="21" customFormat="1" ht="25.5" hidden="1">
      <c r="A357" s="19" t="s">
        <v>216</v>
      </c>
      <c r="B357" s="20" t="s">
        <v>154</v>
      </c>
      <c r="C357" s="20" t="s">
        <v>122</v>
      </c>
      <c r="D357" s="20" t="s">
        <v>123</v>
      </c>
      <c r="E357" s="20" t="s">
        <v>211</v>
      </c>
      <c r="F357" s="20"/>
      <c r="G357" s="236"/>
      <c r="H357" s="236"/>
      <c r="I357" s="215"/>
      <c r="J357" s="192">
        <f t="shared" si="7"/>
        <v>0</v>
      </c>
    </row>
    <row r="358" spans="1:10" s="45" customFormat="1" ht="12.75" hidden="1">
      <c r="A358" s="43" t="s">
        <v>42</v>
      </c>
      <c r="B358" s="44" t="s">
        <v>154</v>
      </c>
      <c r="C358" s="44" t="s">
        <v>122</v>
      </c>
      <c r="D358" s="44" t="s">
        <v>123</v>
      </c>
      <c r="E358" s="44" t="s">
        <v>43</v>
      </c>
      <c r="F358" s="44"/>
      <c r="G358" s="239"/>
      <c r="H358" s="239"/>
      <c r="I358" s="198"/>
      <c r="J358" s="192">
        <f t="shared" si="7"/>
        <v>0</v>
      </c>
    </row>
    <row r="359" spans="1:10" s="21" customFormat="1" ht="12.75" hidden="1">
      <c r="A359" s="19" t="s">
        <v>44</v>
      </c>
      <c r="B359" s="20" t="s">
        <v>154</v>
      </c>
      <c r="C359" s="20" t="s">
        <v>122</v>
      </c>
      <c r="D359" s="20" t="s">
        <v>123</v>
      </c>
      <c r="E359" s="20" t="s">
        <v>45</v>
      </c>
      <c r="F359" s="20"/>
      <c r="G359" s="236"/>
      <c r="H359" s="236"/>
      <c r="I359" s="215"/>
      <c r="J359" s="192">
        <f t="shared" si="7"/>
        <v>0</v>
      </c>
    </row>
    <row r="360" spans="1:10" s="21" customFormat="1" ht="25.5" hidden="1">
      <c r="A360" s="19" t="s">
        <v>214</v>
      </c>
      <c r="B360" s="20"/>
      <c r="C360" s="20"/>
      <c r="D360" s="20"/>
      <c r="E360" s="20"/>
      <c r="F360" s="20" t="s">
        <v>210</v>
      </c>
      <c r="G360" s="236"/>
      <c r="H360" s="236"/>
      <c r="I360" s="215"/>
      <c r="J360" s="192">
        <f t="shared" si="7"/>
        <v>0</v>
      </c>
    </row>
    <row r="361" spans="1:10" s="45" customFormat="1" ht="38.25" hidden="1">
      <c r="A361" s="43" t="s">
        <v>218</v>
      </c>
      <c r="B361" s="44" t="s">
        <v>154</v>
      </c>
      <c r="C361" s="44" t="s">
        <v>122</v>
      </c>
      <c r="D361" s="44" t="s">
        <v>215</v>
      </c>
      <c r="E361" s="44"/>
      <c r="F361" s="44"/>
      <c r="G361" s="239"/>
      <c r="H361" s="239"/>
      <c r="I361" s="198"/>
      <c r="J361" s="192">
        <f t="shared" si="7"/>
        <v>0</v>
      </c>
    </row>
    <row r="362" spans="1:10" s="45" customFormat="1" ht="25.5" hidden="1">
      <c r="A362" s="43" t="s">
        <v>213</v>
      </c>
      <c r="B362" s="44" t="s">
        <v>154</v>
      </c>
      <c r="C362" s="44" t="s">
        <v>122</v>
      </c>
      <c r="D362" s="44" t="s">
        <v>215</v>
      </c>
      <c r="E362" s="44" t="s">
        <v>212</v>
      </c>
      <c r="F362" s="44"/>
      <c r="G362" s="239"/>
      <c r="H362" s="239"/>
      <c r="I362" s="198"/>
      <c r="J362" s="192">
        <f t="shared" si="7"/>
        <v>0</v>
      </c>
    </row>
    <row r="363" spans="1:10" s="21" customFormat="1" ht="25.5" hidden="1">
      <c r="A363" s="19" t="s">
        <v>216</v>
      </c>
      <c r="B363" s="20" t="s">
        <v>154</v>
      </c>
      <c r="C363" s="20" t="s">
        <v>122</v>
      </c>
      <c r="D363" s="20" t="s">
        <v>215</v>
      </c>
      <c r="E363" s="20" t="s">
        <v>211</v>
      </c>
      <c r="F363" s="20"/>
      <c r="G363" s="236"/>
      <c r="H363" s="236"/>
      <c r="I363" s="215"/>
      <c r="J363" s="192">
        <f t="shared" si="7"/>
        <v>0</v>
      </c>
    </row>
    <row r="364" spans="1:10" s="21" customFormat="1" ht="12.75" hidden="1">
      <c r="A364" s="19"/>
      <c r="B364" s="20"/>
      <c r="C364" s="20"/>
      <c r="D364" s="20"/>
      <c r="E364" s="20"/>
      <c r="F364" s="20"/>
      <c r="G364" s="236"/>
      <c r="H364" s="236"/>
      <c r="I364" s="215"/>
      <c r="J364" s="192">
        <f t="shared" si="7"/>
        <v>0</v>
      </c>
    </row>
    <row r="365" spans="1:10" s="45" customFormat="1" ht="63.75">
      <c r="A365" s="16" t="s">
        <v>417</v>
      </c>
      <c r="B365" s="17" t="s">
        <v>155</v>
      </c>
      <c r="C365" s="17" t="s">
        <v>220</v>
      </c>
      <c r="D365" s="17" t="s">
        <v>418</v>
      </c>
      <c r="E365" s="29" t="s">
        <v>211</v>
      </c>
      <c r="F365" s="20" t="s">
        <v>401</v>
      </c>
      <c r="G365" s="251">
        <f>662978.16+543737.6</f>
        <v>1206715.76</v>
      </c>
      <c r="H365" s="251">
        <f>251720.33+107794.03</f>
        <v>359514.36</v>
      </c>
      <c r="I365" s="229">
        <v>166491.18</v>
      </c>
      <c r="J365" s="192">
        <f t="shared" si="7"/>
        <v>193023.18</v>
      </c>
    </row>
    <row r="366" spans="1:10" s="45" customFormat="1" ht="63.75">
      <c r="A366" s="16" t="s">
        <v>419</v>
      </c>
      <c r="B366" s="17" t="s">
        <v>155</v>
      </c>
      <c r="C366" s="17" t="s">
        <v>420</v>
      </c>
      <c r="D366" s="17" t="s">
        <v>421</v>
      </c>
      <c r="E366" s="29" t="s">
        <v>211</v>
      </c>
      <c r="F366" s="20" t="s">
        <v>401</v>
      </c>
      <c r="G366" s="251">
        <f>11640.8+9403.5</f>
        <v>21044.3</v>
      </c>
      <c r="H366" s="251">
        <f>2910.2+2910.2</f>
        <v>5820.4</v>
      </c>
      <c r="I366" s="229"/>
      <c r="J366" s="192">
        <f t="shared" si="7"/>
        <v>5820.4</v>
      </c>
    </row>
    <row r="367" spans="1:10" s="45" customFormat="1" ht="12.75">
      <c r="A367" s="16" t="s">
        <v>332</v>
      </c>
      <c r="B367" s="17" t="s">
        <v>154</v>
      </c>
      <c r="C367" s="17" t="s">
        <v>122</v>
      </c>
      <c r="D367" s="17" t="s">
        <v>215</v>
      </c>
      <c r="E367" s="29" t="s">
        <v>31</v>
      </c>
      <c r="F367" s="20" t="s">
        <v>402</v>
      </c>
      <c r="G367" s="236">
        <v>12000</v>
      </c>
      <c r="H367" s="236">
        <v>12000</v>
      </c>
      <c r="I367" s="215"/>
      <c r="J367" s="192">
        <f t="shared" si="7"/>
        <v>12000</v>
      </c>
    </row>
    <row r="368" spans="1:10" s="45" customFormat="1" ht="25.5">
      <c r="A368" s="19" t="s">
        <v>422</v>
      </c>
      <c r="B368" s="20" t="s">
        <v>155</v>
      </c>
      <c r="C368" s="20" t="s">
        <v>423</v>
      </c>
      <c r="D368" s="20" t="s">
        <v>85</v>
      </c>
      <c r="E368" s="20" t="s">
        <v>211</v>
      </c>
      <c r="F368" s="20" t="s">
        <v>369</v>
      </c>
      <c r="G368" s="236">
        <f>6945488.4</f>
        <v>6945488.4</v>
      </c>
      <c r="H368" s="236">
        <f>753905+2273212.8</f>
        <v>3027117.8</v>
      </c>
      <c r="I368" s="269">
        <v>1591542.33</v>
      </c>
      <c r="J368" s="192">
        <f t="shared" si="7"/>
        <v>1435575.4699999997</v>
      </c>
    </row>
    <row r="369" spans="1:10" s="45" customFormat="1" ht="12.75">
      <c r="A369" s="19" t="s">
        <v>424</v>
      </c>
      <c r="B369" s="20" t="s">
        <v>155</v>
      </c>
      <c r="C369" s="20" t="s">
        <v>423</v>
      </c>
      <c r="D369" s="20" t="s">
        <v>425</v>
      </c>
      <c r="E369" s="20" t="s">
        <v>211</v>
      </c>
      <c r="F369" s="20" t="s">
        <v>369</v>
      </c>
      <c r="G369" s="236">
        <v>182088</v>
      </c>
      <c r="H369" s="236"/>
      <c r="I369" s="269"/>
      <c r="J369" s="192">
        <f t="shared" si="7"/>
        <v>0</v>
      </c>
    </row>
    <row r="370" spans="1:10" s="45" customFormat="1" ht="51">
      <c r="A370" s="19" t="s">
        <v>426</v>
      </c>
      <c r="B370" s="20" t="s">
        <v>155</v>
      </c>
      <c r="C370" s="20" t="s">
        <v>423</v>
      </c>
      <c r="D370" s="20" t="s">
        <v>427</v>
      </c>
      <c r="E370" s="20" t="s">
        <v>211</v>
      </c>
      <c r="F370" s="20" t="s">
        <v>369</v>
      </c>
      <c r="G370" s="236">
        <v>250000</v>
      </c>
      <c r="H370" s="236">
        <v>250000</v>
      </c>
      <c r="I370" s="264"/>
      <c r="J370" s="192">
        <f t="shared" si="7"/>
        <v>250000</v>
      </c>
    </row>
    <row r="371" spans="1:10" s="45" customFormat="1" ht="12.75">
      <c r="A371" s="19" t="s">
        <v>428</v>
      </c>
      <c r="B371" s="20" t="s">
        <v>155</v>
      </c>
      <c r="C371" s="20" t="s">
        <v>423</v>
      </c>
      <c r="D371" s="20" t="s">
        <v>429</v>
      </c>
      <c r="E371" s="20" t="s">
        <v>211</v>
      </c>
      <c r="F371" s="20" t="s">
        <v>369</v>
      </c>
      <c r="G371" s="236">
        <v>778000</v>
      </c>
      <c r="H371" s="236">
        <v>389000</v>
      </c>
      <c r="I371" s="215">
        <v>329</v>
      </c>
      <c r="J371" s="192">
        <f t="shared" si="7"/>
        <v>388671</v>
      </c>
    </row>
    <row r="372" spans="1:10" s="15" customFormat="1" ht="12.75" hidden="1">
      <c r="A372" s="23" t="s">
        <v>67</v>
      </c>
      <c r="B372" s="24" t="s">
        <v>156</v>
      </c>
      <c r="C372" s="24"/>
      <c r="D372" s="24"/>
      <c r="E372" s="24"/>
      <c r="F372" s="24"/>
      <c r="G372" s="235"/>
      <c r="H372" s="235"/>
      <c r="I372" s="196"/>
      <c r="J372" s="192">
        <f t="shared" si="7"/>
        <v>0</v>
      </c>
    </row>
    <row r="373" spans="1:10" s="15" customFormat="1" ht="12.75" hidden="1">
      <c r="A373" s="23" t="s">
        <v>68</v>
      </c>
      <c r="B373" s="24" t="s">
        <v>157</v>
      </c>
      <c r="C373" s="24" t="s">
        <v>142</v>
      </c>
      <c r="D373" s="24" t="s">
        <v>69</v>
      </c>
      <c r="E373" s="24"/>
      <c r="F373" s="24"/>
      <c r="G373" s="235"/>
      <c r="H373" s="235"/>
      <c r="I373" s="196"/>
      <c r="J373" s="192">
        <f t="shared" si="7"/>
        <v>0</v>
      </c>
    </row>
    <row r="374" spans="1:10" s="45" customFormat="1" ht="14.25" customHeight="1" hidden="1">
      <c r="A374" s="43" t="s">
        <v>4</v>
      </c>
      <c r="B374" s="44" t="s">
        <v>157</v>
      </c>
      <c r="C374" s="44" t="s">
        <v>142</v>
      </c>
      <c r="D374" s="44" t="s">
        <v>69</v>
      </c>
      <c r="E374" s="44" t="s">
        <v>5</v>
      </c>
      <c r="F374" s="44"/>
      <c r="G374" s="239"/>
      <c r="H374" s="239"/>
      <c r="I374" s="198"/>
      <c r="J374" s="192">
        <f t="shared" si="7"/>
        <v>0</v>
      </c>
    </row>
    <row r="375" spans="1:10" s="21" customFormat="1" ht="12.75" hidden="1">
      <c r="A375" s="16" t="s">
        <v>6</v>
      </c>
      <c r="B375" s="27" t="s">
        <v>157</v>
      </c>
      <c r="C375" s="27" t="s">
        <v>142</v>
      </c>
      <c r="D375" s="27" t="s">
        <v>69</v>
      </c>
      <c r="E375" s="17" t="s">
        <v>7</v>
      </c>
      <c r="F375" s="17"/>
      <c r="G375" s="236"/>
      <c r="H375" s="236"/>
      <c r="I375" s="215"/>
      <c r="J375" s="192">
        <f t="shared" si="7"/>
        <v>0</v>
      </c>
    </row>
    <row r="376" spans="1:10" s="21" customFormat="1" ht="12.75" hidden="1">
      <c r="A376" s="16" t="s">
        <v>8</v>
      </c>
      <c r="B376" s="27" t="s">
        <v>157</v>
      </c>
      <c r="C376" s="27" t="s">
        <v>142</v>
      </c>
      <c r="D376" s="27" t="s">
        <v>69</v>
      </c>
      <c r="E376" s="17" t="s">
        <v>9</v>
      </c>
      <c r="F376" s="17"/>
      <c r="G376" s="236"/>
      <c r="H376" s="236"/>
      <c r="I376" s="215"/>
      <c r="J376" s="192">
        <f t="shared" si="7"/>
        <v>0</v>
      </c>
    </row>
    <row r="377" spans="1:10" s="21" customFormat="1" ht="25.5" hidden="1">
      <c r="A377" s="11" t="s">
        <v>10</v>
      </c>
      <c r="B377" s="4"/>
      <c r="C377" s="4"/>
      <c r="D377" s="4"/>
      <c r="E377" s="4"/>
      <c r="F377" s="4" t="s">
        <v>183</v>
      </c>
      <c r="G377" s="236"/>
      <c r="H377" s="236"/>
      <c r="I377" s="215"/>
      <c r="J377" s="192">
        <f t="shared" si="7"/>
        <v>0</v>
      </c>
    </row>
    <row r="378" spans="1:10" s="21" customFormat="1" ht="12.75" customHeight="1" hidden="1">
      <c r="A378" s="12" t="s">
        <v>11</v>
      </c>
      <c r="B378" s="4"/>
      <c r="C378" s="4"/>
      <c r="D378" s="4"/>
      <c r="E378" s="4"/>
      <c r="F378" s="4" t="s">
        <v>200</v>
      </c>
      <c r="G378" s="236"/>
      <c r="H378" s="236"/>
      <c r="I378" s="215"/>
      <c r="J378" s="192">
        <f t="shared" si="7"/>
        <v>0</v>
      </c>
    </row>
    <row r="379" spans="1:10" s="30" customFormat="1" ht="12.75" hidden="1">
      <c r="A379" s="65" t="s">
        <v>130</v>
      </c>
      <c r="B379" s="29"/>
      <c r="C379" s="29"/>
      <c r="D379" s="29"/>
      <c r="E379" s="29"/>
      <c r="F379" s="29" t="s">
        <v>199</v>
      </c>
      <c r="G379" s="254"/>
      <c r="H379" s="254"/>
      <c r="I379" s="205"/>
      <c r="J379" s="192">
        <f t="shared" si="7"/>
        <v>0</v>
      </c>
    </row>
    <row r="380" spans="1:10" s="21" customFormat="1" ht="25.5" hidden="1">
      <c r="A380" s="6" t="s">
        <v>12</v>
      </c>
      <c r="B380" s="4"/>
      <c r="C380" s="4"/>
      <c r="D380" s="4"/>
      <c r="E380" s="4"/>
      <c r="F380" s="4" t="s">
        <v>184</v>
      </c>
      <c r="G380" s="236"/>
      <c r="H380" s="236"/>
      <c r="I380" s="215"/>
      <c r="J380" s="192">
        <f t="shared" si="7"/>
        <v>0</v>
      </c>
    </row>
    <row r="381" spans="1:10" s="21" customFormat="1" ht="12.75" hidden="1">
      <c r="A381" s="16" t="s">
        <v>13</v>
      </c>
      <c r="B381" s="27" t="s">
        <v>157</v>
      </c>
      <c r="C381" s="27" t="s">
        <v>142</v>
      </c>
      <c r="D381" s="27" t="s">
        <v>69</v>
      </c>
      <c r="E381" s="17" t="s">
        <v>14</v>
      </c>
      <c r="F381" s="17"/>
      <c r="G381" s="236"/>
      <c r="H381" s="236"/>
      <c r="I381" s="215"/>
      <c r="J381" s="192">
        <f t="shared" si="7"/>
        <v>0</v>
      </c>
    </row>
    <row r="382" spans="1:10" s="45" customFormat="1" ht="12.75" hidden="1">
      <c r="A382" s="43" t="s">
        <v>15</v>
      </c>
      <c r="B382" s="44" t="s">
        <v>157</v>
      </c>
      <c r="C382" s="44" t="s">
        <v>142</v>
      </c>
      <c r="D382" s="44" t="s">
        <v>69</v>
      </c>
      <c r="E382" s="44" t="s">
        <v>16</v>
      </c>
      <c r="F382" s="44"/>
      <c r="G382" s="239"/>
      <c r="H382" s="239"/>
      <c r="I382" s="198"/>
      <c r="J382" s="192">
        <f t="shared" si="7"/>
        <v>0</v>
      </c>
    </row>
    <row r="383" spans="1:10" s="21" customFormat="1" ht="12.75" hidden="1">
      <c r="A383" s="16" t="s">
        <v>17</v>
      </c>
      <c r="B383" s="27" t="s">
        <v>157</v>
      </c>
      <c r="C383" s="27" t="s">
        <v>142</v>
      </c>
      <c r="D383" s="27" t="s">
        <v>69</v>
      </c>
      <c r="E383" s="17" t="s">
        <v>18</v>
      </c>
      <c r="F383" s="17"/>
      <c r="G383" s="236"/>
      <c r="H383" s="236"/>
      <c r="I383" s="215"/>
      <c r="J383" s="192">
        <f t="shared" si="7"/>
        <v>0</v>
      </c>
    </row>
    <row r="384" spans="1:10" s="21" customFormat="1" ht="12.75" hidden="1">
      <c r="A384" s="16" t="s">
        <v>21</v>
      </c>
      <c r="B384" s="27" t="s">
        <v>157</v>
      </c>
      <c r="C384" s="27" t="s">
        <v>142</v>
      </c>
      <c r="D384" s="27" t="s">
        <v>69</v>
      </c>
      <c r="E384" s="17" t="s">
        <v>19</v>
      </c>
      <c r="F384" s="17"/>
      <c r="G384" s="236"/>
      <c r="H384" s="236"/>
      <c r="I384" s="215"/>
      <c r="J384" s="192">
        <f t="shared" si="7"/>
        <v>0</v>
      </c>
    </row>
    <row r="385" spans="1:10" s="21" customFormat="1" ht="25.5" hidden="1">
      <c r="A385" s="11" t="s">
        <v>20</v>
      </c>
      <c r="B385" s="4"/>
      <c r="C385" s="4"/>
      <c r="D385" s="4"/>
      <c r="E385" s="4"/>
      <c r="F385" s="4" t="s">
        <v>183</v>
      </c>
      <c r="G385" s="236"/>
      <c r="H385" s="236"/>
      <c r="I385" s="215"/>
      <c r="J385" s="192">
        <f t="shared" si="7"/>
        <v>0</v>
      </c>
    </row>
    <row r="386" spans="1:10" s="21" customFormat="1" ht="38.25" hidden="1">
      <c r="A386" s="8" t="s">
        <v>22</v>
      </c>
      <c r="B386" s="4"/>
      <c r="C386" s="4"/>
      <c r="D386" s="4"/>
      <c r="E386" s="4"/>
      <c r="F386" s="4" t="s">
        <v>185</v>
      </c>
      <c r="G386" s="236"/>
      <c r="H386" s="236"/>
      <c r="I386" s="215"/>
      <c r="J386" s="192">
        <f t="shared" si="7"/>
        <v>0</v>
      </c>
    </row>
    <row r="387" spans="1:10" s="21" customFormat="1" ht="12.75" hidden="1">
      <c r="A387" s="16" t="s">
        <v>23</v>
      </c>
      <c r="B387" s="27" t="s">
        <v>157</v>
      </c>
      <c r="C387" s="27" t="s">
        <v>142</v>
      </c>
      <c r="D387" s="27" t="s">
        <v>69</v>
      </c>
      <c r="E387" s="17" t="s">
        <v>24</v>
      </c>
      <c r="F387" s="17"/>
      <c r="G387" s="236"/>
      <c r="H387" s="236"/>
      <c r="I387" s="215"/>
      <c r="J387" s="192">
        <f t="shared" si="7"/>
        <v>0</v>
      </c>
    </row>
    <row r="388" spans="1:10" s="21" customFormat="1" ht="25.5" hidden="1">
      <c r="A388" s="7" t="s">
        <v>25</v>
      </c>
      <c r="B388" s="4"/>
      <c r="C388" s="4"/>
      <c r="D388" s="4"/>
      <c r="E388" s="4"/>
      <c r="F388" s="4" t="s">
        <v>186</v>
      </c>
      <c r="G388" s="236"/>
      <c r="H388" s="236"/>
      <c r="I388" s="215"/>
      <c r="J388" s="192">
        <f t="shared" si="7"/>
        <v>0</v>
      </c>
    </row>
    <row r="389" spans="1:10" s="21" customFormat="1" ht="25.5" hidden="1">
      <c r="A389" s="7" t="s">
        <v>26</v>
      </c>
      <c r="B389" s="4"/>
      <c r="C389" s="4"/>
      <c r="D389" s="4"/>
      <c r="E389" s="4"/>
      <c r="F389" s="4" t="s">
        <v>187</v>
      </c>
      <c r="G389" s="236"/>
      <c r="H389" s="236"/>
      <c r="I389" s="215"/>
      <c r="J389" s="192">
        <f t="shared" si="7"/>
        <v>0</v>
      </c>
    </row>
    <row r="390" spans="1:10" s="21" customFormat="1" ht="12.75" hidden="1">
      <c r="A390" s="7" t="s">
        <v>27</v>
      </c>
      <c r="B390" s="4"/>
      <c r="C390" s="4"/>
      <c r="D390" s="4"/>
      <c r="E390" s="4"/>
      <c r="F390" s="4" t="s">
        <v>188</v>
      </c>
      <c r="G390" s="236"/>
      <c r="H390" s="236"/>
      <c r="I390" s="215"/>
      <c r="J390" s="192">
        <f t="shared" si="7"/>
        <v>0</v>
      </c>
    </row>
    <row r="391" spans="1:10" s="21" customFormat="1" ht="13.5" customHeight="1" hidden="1">
      <c r="A391" s="16" t="s">
        <v>28</v>
      </c>
      <c r="B391" s="27" t="s">
        <v>157</v>
      </c>
      <c r="C391" s="27" t="s">
        <v>142</v>
      </c>
      <c r="D391" s="27" t="s">
        <v>69</v>
      </c>
      <c r="E391" s="17" t="s">
        <v>29</v>
      </c>
      <c r="F391" s="17"/>
      <c r="G391" s="236"/>
      <c r="H391" s="236"/>
      <c r="I391" s="215"/>
      <c r="J391" s="192">
        <f t="shared" si="7"/>
        <v>0</v>
      </c>
    </row>
    <row r="392" spans="1:10" s="21" customFormat="1" ht="12.75" hidden="1">
      <c r="A392" s="16" t="s">
        <v>30</v>
      </c>
      <c r="B392" s="27" t="s">
        <v>157</v>
      </c>
      <c r="C392" s="27" t="s">
        <v>142</v>
      </c>
      <c r="D392" s="27" t="s">
        <v>69</v>
      </c>
      <c r="E392" s="17" t="s">
        <v>31</v>
      </c>
      <c r="F392" s="17"/>
      <c r="G392" s="236"/>
      <c r="H392" s="236"/>
      <c r="I392" s="215"/>
      <c r="J392" s="192">
        <f t="shared" si="7"/>
        <v>0</v>
      </c>
    </row>
    <row r="393" spans="1:10" s="21" customFormat="1" ht="12.75" hidden="1">
      <c r="A393" s="7" t="s">
        <v>32</v>
      </c>
      <c r="B393" s="17"/>
      <c r="C393" s="17"/>
      <c r="D393" s="17"/>
      <c r="E393" s="17"/>
      <c r="F393" s="17" t="s">
        <v>189</v>
      </c>
      <c r="G393" s="236"/>
      <c r="H393" s="236"/>
      <c r="I393" s="215"/>
      <c r="J393" s="192">
        <f t="shared" si="7"/>
        <v>0</v>
      </c>
    </row>
    <row r="394" spans="1:10" s="21" customFormat="1" ht="12.75" hidden="1">
      <c r="A394" s="7" t="s">
        <v>33</v>
      </c>
      <c r="B394" s="17"/>
      <c r="C394" s="17"/>
      <c r="D394" s="17"/>
      <c r="E394" s="17"/>
      <c r="F394" s="17" t="s">
        <v>191</v>
      </c>
      <c r="G394" s="236"/>
      <c r="H394" s="236"/>
      <c r="I394" s="215"/>
      <c r="J394" s="192">
        <f t="shared" si="7"/>
        <v>0</v>
      </c>
    </row>
    <row r="395" spans="1:10" s="21" customFormat="1" ht="25.5" hidden="1">
      <c r="A395" s="7" t="s">
        <v>34</v>
      </c>
      <c r="B395" s="17"/>
      <c r="C395" s="17"/>
      <c r="D395" s="17"/>
      <c r="E395" s="17"/>
      <c r="F395" s="17" t="s">
        <v>221</v>
      </c>
      <c r="G395" s="236"/>
      <c r="H395" s="236"/>
      <c r="I395" s="215"/>
      <c r="J395" s="192">
        <f aca="true" t="shared" si="8" ref="J395:J458">H395-I395</f>
        <v>0</v>
      </c>
    </row>
    <row r="396" spans="1:10" s="21" customFormat="1" ht="25.5" hidden="1">
      <c r="A396" s="7" t="s">
        <v>35</v>
      </c>
      <c r="B396" s="17"/>
      <c r="C396" s="17"/>
      <c r="D396" s="17"/>
      <c r="E396" s="17"/>
      <c r="F396" s="17" t="s">
        <v>190</v>
      </c>
      <c r="G396" s="236"/>
      <c r="H396" s="236"/>
      <c r="I396" s="215"/>
      <c r="J396" s="192">
        <f t="shared" si="8"/>
        <v>0</v>
      </c>
    </row>
    <row r="397" spans="1:10" s="21" customFormat="1" ht="51" hidden="1">
      <c r="A397" s="7" t="s">
        <v>36</v>
      </c>
      <c r="B397" s="17"/>
      <c r="C397" s="17"/>
      <c r="D397" s="17"/>
      <c r="E397" s="17"/>
      <c r="F397" s="17" t="s">
        <v>190</v>
      </c>
      <c r="G397" s="236"/>
      <c r="H397" s="236"/>
      <c r="I397" s="215"/>
      <c r="J397" s="192">
        <f t="shared" si="8"/>
        <v>0</v>
      </c>
    </row>
    <row r="398" spans="1:10" s="21" customFormat="1" ht="12.75" hidden="1">
      <c r="A398" s="16" t="s">
        <v>37</v>
      </c>
      <c r="B398" s="27" t="s">
        <v>157</v>
      </c>
      <c r="C398" s="27" t="s">
        <v>142</v>
      </c>
      <c r="D398" s="27" t="s">
        <v>69</v>
      </c>
      <c r="E398" s="17" t="s">
        <v>38</v>
      </c>
      <c r="F398" s="17"/>
      <c r="G398" s="236"/>
      <c r="H398" s="236"/>
      <c r="I398" s="215"/>
      <c r="J398" s="192">
        <f t="shared" si="8"/>
        <v>0</v>
      </c>
    </row>
    <row r="399" spans="1:10" s="21" customFormat="1" ht="38.25" hidden="1">
      <c r="A399" s="11" t="s">
        <v>39</v>
      </c>
      <c r="B399" s="20"/>
      <c r="C399" s="20"/>
      <c r="D399" s="20"/>
      <c r="E399" s="20"/>
      <c r="F399" s="20" t="s">
        <v>183</v>
      </c>
      <c r="G399" s="236"/>
      <c r="H399" s="236"/>
      <c r="I399" s="215"/>
      <c r="J399" s="192">
        <f t="shared" si="8"/>
        <v>0</v>
      </c>
    </row>
    <row r="400" spans="1:10" s="21" customFormat="1" ht="38.25" hidden="1">
      <c r="A400" s="19" t="s">
        <v>40</v>
      </c>
      <c r="B400" s="20"/>
      <c r="C400" s="20"/>
      <c r="D400" s="20"/>
      <c r="E400" s="20"/>
      <c r="F400" s="20" t="s">
        <v>222</v>
      </c>
      <c r="G400" s="236"/>
      <c r="H400" s="236"/>
      <c r="I400" s="215"/>
      <c r="J400" s="192">
        <f t="shared" si="8"/>
        <v>0</v>
      </c>
    </row>
    <row r="401" spans="1:10" s="21" customFormat="1" ht="27" customHeight="1" hidden="1">
      <c r="A401" s="12" t="s">
        <v>41</v>
      </c>
      <c r="B401" s="20"/>
      <c r="C401" s="20"/>
      <c r="D401" s="20"/>
      <c r="E401" s="20"/>
      <c r="F401" s="20" t="s">
        <v>192</v>
      </c>
      <c r="G401" s="236"/>
      <c r="H401" s="236"/>
      <c r="I401" s="215"/>
      <c r="J401" s="192">
        <f t="shared" si="8"/>
        <v>0</v>
      </c>
    </row>
    <row r="402" spans="1:10" s="45" customFormat="1" ht="12.75" hidden="1">
      <c r="A402" s="43" t="s">
        <v>42</v>
      </c>
      <c r="B402" s="44" t="s">
        <v>157</v>
      </c>
      <c r="C402" s="44" t="s">
        <v>142</v>
      </c>
      <c r="D402" s="44" t="s">
        <v>69</v>
      </c>
      <c r="E402" s="44" t="s">
        <v>43</v>
      </c>
      <c r="F402" s="44"/>
      <c r="G402" s="239"/>
      <c r="H402" s="239"/>
      <c r="I402" s="198"/>
      <c r="J402" s="192">
        <f t="shared" si="8"/>
        <v>0</v>
      </c>
    </row>
    <row r="403" spans="1:10" s="21" customFormat="1" ht="12.75" hidden="1">
      <c r="A403" s="16" t="s">
        <v>44</v>
      </c>
      <c r="B403" s="27" t="s">
        <v>157</v>
      </c>
      <c r="C403" s="27" t="s">
        <v>142</v>
      </c>
      <c r="D403" s="27" t="s">
        <v>69</v>
      </c>
      <c r="E403" s="17" t="s">
        <v>45</v>
      </c>
      <c r="F403" s="17"/>
      <c r="G403" s="236"/>
      <c r="H403" s="236"/>
      <c r="I403" s="215"/>
      <c r="J403" s="192">
        <f t="shared" si="8"/>
        <v>0</v>
      </c>
    </row>
    <row r="404" spans="1:10" s="21" customFormat="1" ht="12.75" hidden="1">
      <c r="A404" s="6" t="s">
        <v>46</v>
      </c>
      <c r="B404" s="20"/>
      <c r="C404" s="20"/>
      <c r="D404" s="20"/>
      <c r="E404" s="20"/>
      <c r="F404" s="20"/>
      <c r="G404" s="236"/>
      <c r="H404" s="236"/>
      <c r="I404" s="215"/>
      <c r="J404" s="192">
        <f t="shared" si="8"/>
        <v>0</v>
      </c>
    </row>
    <row r="405" spans="1:10" s="45" customFormat="1" ht="12.75" hidden="1">
      <c r="A405" s="43" t="s">
        <v>47</v>
      </c>
      <c r="B405" s="44" t="s">
        <v>157</v>
      </c>
      <c r="C405" s="44" t="s">
        <v>142</v>
      </c>
      <c r="D405" s="44" t="s">
        <v>69</v>
      </c>
      <c r="E405" s="44" t="s">
        <v>48</v>
      </c>
      <c r="F405" s="44"/>
      <c r="G405" s="239"/>
      <c r="H405" s="239"/>
      <c r="I405" s="198"/>
      <c r="J405" s="192">
        <f t="shared" si="8"/>
        <v>0</v>
      </c>
    </row>
    <row r="406" spans="1:10" s="21" customFormat="1" ht="25.5" hidden="1">
      <c r="A406" s="12" t="s">
        <v>41</v>
      </c>
      <c r="B406" s="20"/>
      <c r="C406" s="20"/>
      <c r="D406" s="20"/>
      <c r="E406" s="20"/>
      <c r="F406" s="20"/>
      <c r="G406" s="236"/>
      <c r="H406" s="236"/>
      <c r="I406" s="215"/>
      <c r="J406" s="192">
        <f t="shared" si="8"/>
        <v>0</v>
      </c>
    </row>
    <row r="407" spans="1:10" s="45" customFormat="1" ht="12.75" hidden="1">
      <c r="A407" s="43" t="s">
        <v>49</v>
      </c>
      <c r="B407" s="44" t="s">
        <v>157</v>
      </c>
      <c r="C407" s="44" t="s">
        <v>142</v>
      </c>
      <c r="D407" s="44" t="s">
        <v>69</v>
      </c>
      <c r="E407" s="44" t="s">
        <v>50</v>
      </c>
      <c r="F407" s="44"/>
      <c r="G407" s="239"/>
      <c r="H407" s="239"/>
      <c r="I407" s="198"/>
      <c r="J407" s="192">
        <f t="shared" si="8"/>
        <v>0</v>
      </c>
    </row>
    <row r="408" spans="1:10" s="21" customFormat="1" ht="12.75" hidden="1">
      <c r="A408" s="16" t="s">
        <v>51</v>
      </c>
      <c r="B408" s="27" t="s">
        <v>157</v>
      </c>
      <c r="C408" s="27" t="s">
        <v>142</v>
      </c>
      <c r="D408" s="27" t="s">
        <v>69</v>
      </c>
      <c r="E408" s="17" t="s">
        <v>52</v>
      </c>
      <c r="F408" s="17"/>
      <c r="G408" s="236"/>
      <c r="H408" s="236"/>
      <c r="I408" s="215"/>
      <c r="J408" s="192">
        <f t="shared" si="8"/>
        <v>0</v>
      </c>
    </row>
    <row r="409" spans="1:10" s="21" customFormat="1" ht="12.75" hidden="1">
      <c r="A409" s="7" t="s">
        <v>53</v>
      </c>
      <c r="B409" s="20"/>
      <c r="C409" s="20"/>
      <c r="D409" s="20"/>
      <c r="E409" s="20"/>
      <c r="F409" s="20" t="s">
        <v>223</v>
      </c>
      <c r="G409" s="236"/>
      <c r="H409" s="236"/>
      <c r="I409" s="215"/>
      <c r="J409" s="192">
        <f t="shared" si="8"/>
        <v>0</v>
      </c>
    </row>
    <row r="410" spans="1:10" s="21" customFormat="1" ht="51" hidden="1">
      <c r="A410" s="7" t="s">
        <v>54</v>
      </c>
      <c r="B410" s="20"/>
      <c r="C410" s="20"/>
      <c r="D410" s="20"/>
      <c r="E410" s="20"/>
      <c r="F410" s="20" t="s">
        <v>194</v>
      </c>
      <c r="G410" s="236"/>
      <c r="H410" s="236"/>
      <c r="I410" s="215"/>
      <c r="J410" s="192">
        <f t="shared" si="8"/>
        <v>0</v>
      </c>
    </row>
    <row r="411" spans="1:10" s="21" customFormat="1" ht="50.25" customHeight="1" hidden="1">
      <c r="A411" s="7" t="s">
        <v>55</v>
      </c>
      <c r="B411" s="20"/>
      <c r="C411" s="20"/>
      <c r="D411" s="20"/>
      <c r="E411" s="20"/>
      <c r="F411" s="20" t="s">
        <v>193</v>
      </c>
      <c r="G411" s="236"/>
      <c r="H411" s="236"/>
      <c r="I411" s="215"/>
      <c r="J411" s="192">
        <f t="shared" si="8"/>
        <v>0</v>
      </c>
    </row>
    <row r="412" spans="1:10" s="21" customFormat="1" ht="14.25" customHeight="1" hidden="1">
      <c r="A412" s="16" t="s">
        <v>56</v>
      </c>
      <c r="B412" s="27" t="s">
        <v>157</v>
      </c>
      <c r="C412" s="27" t="s">
        <v>142</v>
      </c>
      <c r="D412" s="27" t="s">
        <v>69</v>
      </c>
      <c r="E412" s="17" t="s">
        <v>57</v>
      </c>
      <c r="F412" s="17"/>
      <c r="G412" s="236"/>
      <c r="H412" s="236"/>
      <c r="I412" s="215"/>
      <c r="J412" s="192">
        <f t="shared" si="8"/>
        <v>0</v>
      </c>
    </row>
    <row r="413" spans="1:10" s="21" customFormat="1" ht="25.5" hidden="1">
      <c r="A413" s="7" t="s">
        <v>58</v>
      </c>
      <c r="B413" s="20"/>
      <c r="C413" s="20"/>
      <c r="D413" s="20"/>
      <c r="E413" s="20"/>
      <c r="F413" s="20" t="s">
        <v>195</v>
      </c>
      <c r="G413" s="236"/>
      <c r="H413" s="236"/>
      <c r="I413" s="215"/>
      <c r="J413" s="192">
        <f t="shared" si="8"/>
        <v>0</v>
      </c>
    </row>
    <row r="414" spans="1:10" s="21" customFormat="1" ht="12.75" hidden="1">
      <c r="A414" s="7" t="s">
        <v>59</v>
      </c>
      <c r="B414" s="20"/>
      <c r="C414" s="20"/>
      <c r="D414" s="20"/>
      <c r="E414" s="20"/>
      <c r="F414" s="20" t="s">
        <v>196</v>
      </c>
      <c r="G414" s="236"/>
      <c r="H414" s="236"/>
      <c r="I414" s="215"/>
      <c r="J414" s="192">
        <f t="shared" si="8"/>
        <v>0</v>
      </c>
    </row>
    <row r="415" spans="1:10" s="21" customFormat="1" ht="12.75" hidden="1">
      <c r="A415" s="7" t="s">
        <v>60</v>
      </c>
      <c r="B415" s="20"/>
      <c r="C415" s="20"/>
      <c r="D415" s="20"/>
      <c r="E415" s="20"/>
      <c r="F415" s="20" t="s">
        <v>197</v>
      </c>
      <c r="G415" s="236"/>
      <c r="H415" s="236"/>
      <c r="I415" s="215"/>
      <c r="J415" s="192">
        <f t="shared" si="8"/>
        <v>0</v>
      </c>
    </row>
    <row r="416" spans="1:10" s="21" customFormat="1" ht="38.25" hidden="1">
      <c r="A416" s="7" t="s">
        <v>61</v>
      </c>
      <c r="B416" s="20"/>
      <c r="C416" s="20"/>
      <c r="D416" s="20"/>
      <c r="E416" s="20"/>
      <c r="F416" s="20" t="s">
        <v>198</v>
      </c>
      <c r="G416" s="236"/>
      <c r="H416" s="236"/>
      <c r="I416" s="215"/>
      <c r="J416" s="192">
        <f t="shared" si="8"/>
        <v>0</v>
      </c>
    </row>
    <row r="417" spans="1:10" s="21" customFormat="1" ht="12.75" hidden="1">
      <c r="A417" s="23" t="s">
        <v>70</v>
      </c>
      <c r="B417" s="24" t="s">
        <v>158</v>
      </c>
      <c r="C417" s="24" t="s">
        <v>83</v>
      </c>
      <c r="D417" s="24"/>
      <c r="E417" s="24"/>
      <c r="F417" s="24"/>
      <c r="G417" s="236"/>
      <c r="H417" s="236"/>
      <c r="I417" s="215"/>
      <c r="J417" s="192">
        <f t="shared" si="8"/>
        <v>0</v>
      </c>
    </row>
    <row r="418" spans="1:10" s="21" customFormat="1" ht="25.5" hidden="1">
      <c r="A418" s="26" t="s">
        <v>131</v>
      </c>
      <c r="B418" s="24" t="s">
        <v>158</v>
      </c>
      <c r="C418" s="24" t="s">
        <v>83</v>
      </c>
      <c r="D418" s="24" t="s">
        <v>69</v>
      </c>
      <c r="E418" s="24"/>
      <c r="F418" s="24"/>
      <c r="G418" s="236"/>
      <c r="H418" s="236"/>
      <c r="I418" s="215"/>
      <c r="J418" s="192">
        <f t="shared" si="8"/>
        <v>0</v>
      </c>
    </row>
    <row r="419" spans="1:10" s="45" customFormat="1" ht="12.75" customHeight="1" hidden="1">
      <c r="A419" s="43" t="s">
        <v>4</v>
      </c>
      <c r="B419" s="44" t="s">
        <v>158</v>
      </c>
      <c r="C419" s="44" t="s">
        <v>83</v>
      </c>
      <c r="D419" s="44" t="s">
        <v>69</v>
      </c>
      <c r="E419" s="44" t="s">
        <v>5</v>
      </c>
      <c r="F419" s="44"/>
      <c r="G419" s="239"/>
      <c r="H419" s="239"/>
      <c r="I419" s="198"/>
      <c r="J419" s="192">
        <f t="shared" si="8"/>
        <v>0</v>
      </c>
    </row>
    <row r="420" spans="1:10" s="21" customFormat="1" ht="12.75" hidden="1">
      <c r="A420" s="16" t="s">
        <v>6</v>
      </c>
      <c r="B420" s="17" t="s">
        <v>207</v>
      </c>
      <c r="C420" s="17" t="s">
        <v>83</v>
      </c>
      <c r="D420" s="17" t="s">
        <v>69</v>
      </c>
      <c r="E420" s="17" t="s">
        <v>7</v>
      </c>
      <c r="F420" s="17"/>
      <c r="G420" s="236"/>
      <c r="H420" s="236"/>
      <c r="I420" s="215"/>
      <c r="J420" s="192">
        <f t="shared" si="8"/>
        <v>0</v>
      </c>
    </row>
    <row r="421" spans="1:10" s="21" customFormat="1" ht="9.75" customHeight="1" hidden="1">
      <c r="A421" s="16" t="s">
        <v>8</v>
      </c>
      <c r="B421" s="17" t="s">
        <v>207</v>
      </c>
      <c r="C421" s="17" t="s">
        <v>83</v>
      </c>
      <c r="D421" s="17" t="s">
        <v>69</v>
      </c>
      <c r="E421" s="17" t="s">
        <v>9</v>
      </c>
      <c r="F421" s="17"/>
      <c r="G421" s="236"/>
      <c r="H421" s="236"/>
      <c r="I421" s="215"/>
      <c r="J421" s="192">
        <f t="shared" si="8"/>
        <v>0</v>
      </c>
    </row>
    <row r="422" spans="1:10" s="21" customFormat="1" ht="25.5" hidden="1">
      <c r="A422" s="11" t="s">
        <v>10</v>
      </c>
      <c r="B422" s="4"/>
      <c r="C422" s="4"/>
      <c r="D422" s="4"/>
      <c r="E422" s="4"/>
      <c r="F422" s="4" t="s">
        <v>183</v>
      </c>
      <c r="G422" s="236"/>
      <c r="H422" s="236"/>
      <c r="I422" s="215"/>
      <c r="J422" s="192">
        <f t="shared" si="8"/>
        <v>0</v>
      </c>
    </row>
    <row r="423" spans="1:10" s="21" customFormat="1" ht="12.75" customHeight="1" hidden="1">
      <c r="A423" s="12" t="s">
        <v>11</v>
      </c>
      <c r="B423" s="4"/>
      <c r="C423" s="4"/>
      <c r="D423" s="4"/>
      <c r="E423" s="4"/>
      <c r="F423" s="4" t="s">
        <v>200</v>
      </c>
      <c r="G423" s="236"/>
      <c r="H423" s="236"/>
      <c r="I423" s="215"/>
      <c r="J423" s="192">
        <f t="shared" si="8"/>
        <v>0</v>
      </c>
    </row>
    <row r="424" spans="1:10" s="30" customFormat="1" ht="12.75" hidden="1">
      <c r="A424" s="65" t="s">
        <v>130</v>
      </c>
      <c r="B424" s="29"/>
      <c r="C424" s="29"/>
      <c r="D424" s="29"/>
      <c r="E424" s="29"/>
      <c r="F424" s="29" t="s">
        <v>199</v>
      </c>
      <c r="G424" s="254"/>
      <c r="H424" s="254"/>
      <c r="I424" s="205"/>
      <c r="J424" s="192">
        <f t="shared" si="8"/>
        <v>0</v>
      </c>
    </row>
    <row r="425" spans="1:10" s="21" customFormat="1" ht="25.5" hidden="1">
      <c r="A425" s="6" t="s">
        <v>12</v>
      </c>
      <c r="B425" s="4"/>
      <c r="C425" s="4"/>
      <c r="D425" s="4"/>
      <c r="E425" s="4"/>
      <c r="F425" s="4" t="s">
        <v>184</v>
      </c>
      <c r="G425" s="236"/>
      <c r="H425" s="236"/>
      <c r="I425" s="215"/>
      <c r="J425" s="192">
        <f t="shared" si="8"/>
        <v>0</v>
      </c>
    </row>
    <row r="426" spans="1:10" s="21" customFormat="1" ht="12.75" hidden="1">
      <c r="A426" s="16" t="s">
        <v>13</v>
      </c>
      <c r="B426" s="17" t="s">
        <v>207</v>
      </c>
      <c r="C426" s="17" t="s">
        <v>83</v>
      </c>
      <c r="D426" s="17" t="s">
        <v>69</v>
      </c>
      <c r="E426" s="17" t="s">
        <v>14</v>
      </c>
      <c r="F426" s="17"/>
      <c r="G426" s="236"/>
      <c r="H426" s="236"/>
      <c r="I426" s="215"/>
      <c r="J426" s="192">
        <f t="shared" si="8"/>
        <v>0</v>
      </c>
    </row>
    <row r="427" spans="1:10" s="45" customFormat="1" ht="12.75" hidden="1">
      <c r="A427" s="43" t="s">
        <v>15</v>
      </c>
      <c r="B427" s="44" t="s">
        <v>207</v>
      </c>
      <c r="C427" s="44" t="s">
        <v>83</v>
      </c>
      <c r="D427" s="44" t="s">
        <v>69</v>
      </c>
      <c r="E427" s="44" t="s">
        <v>16</v>
      </c>
      <c r="F427" s="44"/>
      <c r="G427" s="239"/>
      <c r="H427" s="239"/>
      <c r="I427" s="198"/>
      <c r="J427" s="192">
        <f t="shared" si="8"/>
        <v>0</v>
      </c>
    </row>
    <row r="428" spans="1:10" s="21" customFormat="1" ht="12.75" hidden="1">
      <c r="A428" s="16" t="s">
        <v>17</v>
      </c>
      <c r="B428" s="17" t="s">
        <v>207</v>
      </c>
      <c r="C428" s="17" t="s">
        <v>83</v>
      </c>
      <c r="D428" s="17" t="s">
        <v>69</v>
      </c>
      <c r="E428" s="17" t="s">
        <v>18</v>
      </c>
      <c r="F428" s="17"/>
      <c r="G428" s="236"/>
      <c r="H428" s="236"/>
      <c r="I428" s="215"/>
      <c r="J428" s="192">
        <f t="shared" si="8"/>
        <v>0</v>
      </c>
    </row>
    <row r="429" spans="1:10" s="21" customFormat="1" ht="12.75" hidden="1">
      <c r="A429" s="16" t="s">
        <v>21</v>
      </c>
      <c r="B429" s="17" t="s">
        <v>207</v>
      </c>
      <c r="C429" s="17" t="s">
        <v>83</v>
      </c>
      <c r="D429" s="17" t="s">
        <v>69</v>
      </c>
      <c r="E429" s="17" t="s">
        <v>19</v>
      </c>
      <c r="F429" s="17"/>
      <c r="G429" s="236"/>
      <c r="H429" s="236"/>
      <c r="I429" s="215"/>
      <c r="J429" s="192">
        <f t="shared" si="8"/>
        <v>0</v>
      </c>
    </row>
    <row r="430" spans="1:10" s="21" customFormat="1" ht="25.5" hidden="1">
      <c r="A430" s="11" t="s">
        <v>20</v>
      </c>
      <c r="B430" s="4"/>
      <c r="C430" s="4"/>
      <c r="D430" s="4"/>
      <c r="E430" s="4"/>
      <c r="F430" s="4" t="s">
        <v>183</v>
      </c>
      <c r="G430" s="236"/>
      <c r="H430" s="236"/>
      <c r="I430" s="215"/>
      <c r="J430" s="192">
        <f t="shared" si="8"/>
        <v>0</v>
      </c>
    </row>
    <row r="431" spans="1:10" s="21" customFormat="1" ht="38.25" hidden="1">
      <c r="A431" s="8" t="s">
        <v>22</v>
      </c>
      <c r="B431" s="4"/>
      <c r="C431" s="4"/>
      <c r="D431" s="4"/>
      <c r="E431" s="4"/>
      <c r="F431" s="4" t="s">
        <v>185</v>
      </c>
      <c r="G431" s="236"/>
      <c r="H431" s="236"/>
      <c r="I431" s="215"/>
      <c r="J431" s="192">
        <f t="shared" si="8"/>
        <v>0</v>
      </c>
    </row>
    <row r="432" spans="1:10" s="21" customFormat="1" ht="12.75" hidden="1">
      <c r="A432" s="16" t="s">
        <v>23</v>
      </c>
      <c r="B432" s="17" t="s">
        <v>207</v>
      </c>
      <c r="C432" s="17" t="s">
        <v>83</v>
      </c>
      <c r="D432" s="17" t="s">
        <v>69</v>
      </c>
      <c r="E432" s="17" t="s">
        <v>24</v>
      </c>
      <c r="F432" s="17"/>
      <c r="G432" s="236"/>
      <c r="H432" s="236"/>
      <c r="I432" s="215"/>
      <c r="J432" s="192">
        <f t="shared" si="8"/>
        <v>0</v>
      </c>
    </row>
    <row r="433" spans="1:10" s="21" customFormat="1" ht="25.5" hidden="1">
      <c r="A433" s="7" t="s">
        <v>25</v>
      </c>
      <c r="B433" s="4"/>
      <c r="C433" s="4"/>
      <c r="D433" s="4"/>
      <c r="E433" s="4"/>
      <c r="F433" s="4" t="s">
        <v>186</v>
      </c>
      <c r="G433" s="236"/>
      <c r="H433" s="236"/>
      <c r="I433" s="215"/>
      <c r="J433" s="192">
        <f t="shared" si="8"/>
        <v>0</v>
      </c>
    </row>
    <row r="434" spans="1:10" s="21" customFormat="1" ht="25.5" hidden="1">
      <c r="A434" s="7" t="s">
        <v>26</v>
      </c>
      <c r="B434" s="4"/>
      <c r="C434" s="4"/>
      <c r="D434" s="4"/>
      <c r="E434" s="4"/>
      <c r="F434" s="4" t="s">
        <v>187</v>
      </c>
      <c r="G434" s="236"/>
      <c r="H434" s="236"/>
      <c r="I434" s="215"/>
      <c r="J434" s="192">
        <f t="shared" si="8"/>
        <v>0</v>
      </c>
    </row>
    <row r="435" spans="1:10" s="21" customFormat="1" ht="9" customHeight="1" hidden="1">
      <c r="A435" s="7" t="s">
        <v>27</v>
      </c>
      <c r="B435" s="4"/>
      <c r="C435" s="4"/>
      <c r="D435" s="4"/>
      <c r="E435" s="4"/>
      <c r="F435" s="4" t="s">
        <v>188</v>
      </c>
      <c r="G435" s="236"/>
      <c r="H435" s="236"/>
      <c r="I435" s="215"/>
      <c r="J435" s="192">
        <f t="shared" si="8"/>
        <v>0</v>
      </c>
    </row>
    <row r="436" spans="1:10" s="21" customFormat="1" ht="13.5" customHeight="1" hidden="1">
      <c r="A436" s="16" t="s">
        <v>28</v>
      </c>
      <c r="B436" s="17" t="s">
        <v>207</v>
      </c>
      <c r="C436" s="17" t="s">
        <v>83</v>
      </c>
      <c r="D436" s="17" t="s">
        <v>69</v>
      </c>
      <c r="E436" s="17" t="s">
        <v>29</v>
      </c>
      <c r="F436" s="17"/>
      <c r="G436" s="236"/>
      <c r="H436" s="236"/>
      <c r="I436" s="215"/>
      <c r="J436" s="192">
        <f t="shared" si="8"/>
        <v>0</v>
      </c>
    </row>
    <row r="437" spans="1:10" s="21" customFormat="1" ht="12.75" hidden="1">
      <c r="A437" s="16" t="s">
        <v>30</v>
      </c>
      <c r="B437" s="17" t="s">
        <v>207</v>
      </c>
      <c r="C437" s="17" t="s">
        <v>83</v>
      </c>
      <c r="D437" s="17" t="s">
        <v>69</v>
      </c>
      <c r="E437" s="17" t="s">
        <v>31</v>
      </c>
      <c r="F437" s="17"/>
      <c r="G437" s="236"/>
      <c r="H437" s="236"/>
      <c r="I437" s="215"/>
      <c r="J437" s="192">
        <f t="shared" si="8"/>
        <v>0</v>
      </c>
    </row>
    <row r="438" spans="1:10" s="21" customFormat="1" ht="12.75" hidden="1">
      <c r="A438" s="7" t="s">
        <v>32</v>
      </c>
      <c r="B438" s="17"/>
      <c r="C438" s="17"/>
      <c r="D438" s="17"/>
      <c r="E438" s="17"/>
      <c r="F438" s="17" t="s">
        <v>189</v>
      </c>
      <c r="G438" s="236"/>
      <c r="H438" s="236"/>
      <c r="I438" s="215"/>
      <c r="J438" s="192">
        <f t="shared" si="8"/>
        <v>0</v>
      </c>
    </row>
    <row r="439" spans="1:10" s="21" customFormat="1" ht="12.75" hidden="1">
      <c r="A439" s="7" t="s">
        <v>33</v>
      </c>
      <c r="B439" s="17"/>
      <c r="C439" s="17"/>
      <c r="D439" s="17"/>
      <c r="E439" s="17"/>
      <c r="F439" s="17" t="s">
        <v>191</v>
      </c>
      <c r="G439" s="236"/>
      <c r="H439" s="236"/>
      <c r="I439" s="215"/>
      <c r="J439" s="192">
        <f t="shared" si="8"/>
        <v>0</v>
      </c>
    </row>
    <row r="440" spans="1:10" s="21" customFormat="1" ht="25.5" hidden="1">
      <c r="A440" s="7" t="s">
        <v>34</v>
      </c>
      <c r="B440" s="17"/>
      <c r="C440" s="17"/>
      <c r="D440" s="17"/>
      <c r="E440" s="17"/>
      <c r="F440" s="17" t="s">
        <v>221</v>
      </c>
      <c r="G440" s="236"/>
      <c r="H440" s="236"/>
      <c r="I440" s="215"/>
      <c r="J440" s="192">
        <f t="shared" si="8"/>
        <v>0</v>
      </c>
    </row>
    <row r="441" spans="1:10" s="21" customFormat="1" ht="25.5" hidden="1">
      <c r="A441" s="7" t="s">
        <v>35</v>
      </c>
      <c r="B441" s="17"/>
      <c r="C441" s="17"/>
      <c r="D441" s="17"/>
      <c r="E441" s="17"/>
      <c r="F441" s="17" t="s">
        <v>190</v>
      </c>
      <c r="G441" s="236"/>
      <c r="H441" s="236"/>
      <c r="I441" s="215"/>
      <c r="J441" s="192">
        <f t="shared" si="8"/>
        <v>0</v>
      </c>
    </row>
    <row r="442" spans="1:10" s="21" customFormat="1" ht="51" hidden="1">
      <c r="A442" s="7" t="s">
        <v>36</v>
      </c>
      <c r="B442" s="17"/>
      <c r="C442" s="17"/>
      <c r="D442" s="17"/>
      <c r="E442" s="17"/>
      <c r="F442" s="17" t="s">
        <v>190</v>
      </c>
      <c r="G442" s="236"/>
      <c r="H442" s="236"/>
      <c r="I442" s="215"/>
      <c r="J442" s="192">
        <f t="shared" si="8"/>
        <v>0</v>
      </c>
    </row>
    <row r="443" spans="1:10" s="21" customFormat="1" ht="12.75" hidden="1">
      <c r="A443" s="16" t="s">
        <v>37</v>
      </c>
      <c r="B443" s="17" t="s">
        <v>207</v>
      </c>
      <c r="C443" s="17" t="s">
        <v>83</v>
      </c>
      <c r="D443" s="17" t="s">
        <v>69</v>
      </c>
      <c r="E443" s="17" t="s">
        <v>38</v>
      </c>
      <c r="F443" s="17"/>
      <c r="G443" s="236"/>
      <c r="H443" s="236"/>
      <c r="I443" s="215"/>
      <c r="J443" s="192">
        <f t="shared" si="8"/>
        <v>0</v>
      </c>
    </row>
    <row r="444" spans="1:10" s="21" customFormat="1" ht="36" customHeight="1" hidden="1">
      <c r="A444" s="11" t="s">
        <v>39</v>
      </c>
      <c r="B444" s="20"/>
      <c r="C444" s="20"/>
      <c r="D444" s="20"/>
      <c r="E444" s="20"/>
      <c r="F444" s="20" t="s">
        <v>183</v>
      </c>
      <c r="G444" s="236"/>
      <c r="H444" s="236"/>
      <c r="I444" s="215"/>
      <c r="J444" s="192">
        <f t="shared" si="8"/>
        <v>0</v>
      </c>
    </row>
    <row r="445" spans="1:10" s="21" customFormat="1" ht="38.25" hidden="1">
      <c r="A445" s="19" t="s">
        <v>40</v>
      </c>
      <c r="B445" s="20"/>
      <c r="C445" s="20"/>
      <c r="D445" s="20"/>
      <c r="E445" s="20"/>
      <c r="F445" s="20" t="s">
        <v>222</v>
      </c>
      <c r="G445" s="236"/>
      <c r="H445" s="236"/>
      <c r="I445" s="215"/>
      <c r="J445" s="192">
        <f t="shared" si="8"/>
        <v>0</v>
      </c>
    </row>
    <row r="446" spans="1:10" s="21" customFormat="1" ht="26.25" customHeight="1" hidden="1">
      <c r="A446" s="12" t="s">
        <v>41</v>
      </c>
      <c r="B446" s="20"/>
      <c r="C446" s="20"/>
      <c r="D446" s="20"/>
      <c r="E446" s="20"/>
      <c r="F446" s="20" t="s">
        <v>192</v>
      </c>
      <c r="G446" s="236"/>
      <c r="H446" s="236"/>
      <c r="I446" s="215"/>
      <c r="J446" s="192">
        <f t="shared" si="8"/>
        <v>0</v>
      </c>
    </row>
    <row r="447" spans="1:10" s="45" customFormat="1" ht="12.75" hidden="1">
      <c r="A447" s="43" t="s">
        <v>42</v>
      </c>
      <c r="B447" s="44" t="s">
        <v>207</v>
      </c>
      <c r="C447" s="44" t="s">
        <v>83</v>
      </c>
      <c r="D447" s="44" t="s">
        <v>69</v>
      </c>
      <c r="E447" s="44" t="s">
        <v>43</v>
      </c>
      <c r="F447" s="44"/>
      <c r="G447" s="239"/>
      <c r="H447" s="239"/>
      <c r="I447" s="198"/>
      <c r="J447" s="192">
        <f t="shared" si="8"/>
        <v>0</v>
      </c>
    </row>
    <row r="448" spans="1:10" s="21" customFormat="1" ht="12.75" hidden="1">
      <c r="A448" s="16" t="s">
        <v>44</v>
      </c>
      <c r="B448" s="17" t="s">
        <v>207</v>
      </c>
      <c r="C448" s="17" t="s">
        <v>83</v>
      </c>
      <c r="D448" s="17" t="s">
        <v>69</v>
      </c>
      <c r="E448" s="17" t="s">
        <v>45</v>
      </c>
      <c r="F448" s="17"/>
      <c r="G448" s="236"/>
      <c r="H448" s="236"/>
      <c r="I448" s="215"/>
      <c r="J448" s="192">
        <f t="shared" si="8"/>
        <v>0</v>
      </c>
    </row>
    <row r="449" spans="1:10" s="21" customFormat="1" ht="12.75" hidden="1">
      <c r="A449" s="6" t="s">
        <v>46</v>
      </c>
      <c r="B449" s="20"/>
      <c r="C449" s="20"/>
      <c r="D449" s="20"/>
      <c r="E449" s="20"/>
      <c r="F449" s="20"/>
      <c r="G449" s="236"/>
      <c r="H449" s="236"/>
      <c r="I449" s="215"/>
      <c r="J449" s="192">
        <f t="shared" si="8"/>
        <v>0</v>
      </c>
    </row>
    <row r="450" spans="1:10" s="21" customFormat="1" ht="12.75" hidden="1">
      <c r="A450" s="64" t="s">
        <v>129</v>
      </c>
      <c r="B450" s="20"/>
      <c r="C450" s="20"/>
      <c r="D450" s="20"/>
      <c r="E450" s="20"/>
      <c r="F450" s="20" t="s">
        <v>209</v>
      </c>
      <c r="G450" s="236"/>
      <c r="H450" s="236"/>
      <c r="I450" s="215"/>
      <c r="J450" s="192">
        <f t="shared" si="8"/>
        <v>0</v>
      </c>
    </row>
    <row r="451" spans="1:10" s="45" customFormat="1" ht="12.75" hidden="1">
      <c r="A451" s="43" t="s">
        <v>47</v>
      </c>
      <c r="B451" s="44" t="s">
        <v>207</v>
      </c>
      <c r="C451" s="44" t="s">
        <v>83</v>
      </c>
      <c r="D451" s="44" t="s">
        <v>69</v>
      </c>
      <c r="E451" s="44" t="s">
        <v>48</v>
      </c>
      <c r="F451" s="44"/>
      <c r="G451" s="239"/>
      <c r="H451" s="239"/>
      <c r="I451" s="198"/>
      <c r="J451" s="192">
        <f t="shared" si="8"/>
        <v>0</v>
      </c>
    </row>
    <row r="452" spans="1:10" s="21" customFormat="1" ht="25.5" customHeight="1" hidden="1">
      <c r="A452" s="12" t="s">
        <v>41</v>
      </c>
      <c r="B452" s="20"/>
      <c r="C452" s="20"/>
      <c r="D452" s="20"/>
      <c r="E452" s="20"/>
      <c r="F452" s="20"/>
      <c r="G452" s="236"/>
      <c r="H452" s="236"/>
      <c r="I452" s="215"/>
      <c r="J452" s="192">
        <f t="shared" si="8"/>
        <v>0</v>
      </c>
    </row>
    <row r="453" spans="1:10" s="45" customFormat="1" ht="12.75" hidden="1">
      <c r="A453" s="43" t="s">
        <v>49</v>
      </c>
      <c r="B453" s="44" t="s">
        <v>207</v>
      </c>
      <c r="C453" s="44" t="s">
        <v>83</v>
      </c>
      <c r="D453" s="44" t="s">
        <v>69</v>
      </c>
      <c r="E453" s="44" t="s">
        <v>50</v>
      </c>
      <c r="F453" s="44"/>
      <c r="G453" s="239"/>
      <c r="H453" s="239"/>
      <c r="I453" s="198"/>
      <c r="J453" s="192">
        <f t="shared" si="8"/>
        <v>0</v>
      </c>
    </row>
    <row r="454" spans="1:10" s="21" customFormat="1" ht="12.75" hidden="1">
      <c r="A454" s="16" t="s">
        <v>51</v>
      </c>
      <c r="B454" s="17" t="s">
        <v>207</v>
      </c>
      <c r="C454" s="17" t="s">
        <v>83</v>
      </c>
      <c r="D454" s="17" t="s">
        <v>69</v>
      </c>
      <c r="E454" s="17" t="s">
        <v>52</v>
      </c>
      <c r="F454" s="17"/>
      <c r="G454" s="236"/>
      <c r="H454" s="236"/>
      <c r="I454" s="215"/>
      <c r="J454" s="192">
        <f t="shared" si="8"/>
        <v>0</v>
      </c>
    </row>
    <row r="455" spans="1:10" s="21" customFormat="1" ht="12.75" hidden="1">
      <c r="A455" s="7" t="s">
        <v>53</v>
      </c>
      <c r="B455" s="20"/>
      <c r="C455" s="20"/>
      <c r="D455" s="20"/>
      <c r="E455" s="20"/>
      <c r="F455" s="20" t="s">
        <v>223</v>
      </c>
      <c r="G455" s="236"/>
      <c r="H455" s="236"/>
      <c r="I455" s="215"/>
      <c r="J455" s="192">
        <f t="shared" si="8"/>
        <v>0</v>
      </c>
    </row>
    <row r="456" spans="1:10" s="21" customFormat="1" ht="51" hidden="1">
      <c r="A456" s="7" t="s">
        <v>54</v>
      </c>
      <c r="B456" s="20"/>
      <c r="C456" s="20"/>
      <c r="D456" s="20"/>
      <c r="E456" s="20"/>
      <c r="F456" s="20" t="s">
        <v>194</v>
      </c>
      <c r="G456" s="236"/>
      <c r="H456" s="236"/>
      <c r="I456" s="215"/>
      <c r="J456" s="192">
        <f t="shared" si="8"/>
        <v>0</v>
      </c>
    </row>
    <row r="457" spans="1:10" s="21" customFormat="1" ht="50.25" customHeight="1" hidden="1">
      <c r="A457" s="7" t="s">
        <v>55</v>
      </c>
      <c r="B457" s="20"/>
      <c r="C457" s="20"/>
      <c r="D457" s="20"/>
      <c r="E457" s="20"/>
      <c r="F457" s="20" t="s">
        <v>193</v>
      </c>
      <c r="G457" s="236"/>
      <c r="H457" s="236"/>
      <c r="I457" s="215"/>
      <c r="J457" s="192">
        <f t="shared" si="8"/>
        <v>0</v>
      </c>
    </row>
    <row r="458" spans="1:10" s="21" customFormat="1" ht="16.5" customHeight="1" hidden="1">
      <c r="A458" s="16" t="s">
        <v>56</v>
      </c>
      <c r="B458" s="17" t="s">
        <v>207</v>
      </c>
      <c r="C458" s="17" t="s">
        <v>83</v>
      </c>
      <c r="D458" s="17" t="s">
        <v>69</v>
      </c>
      <c r="E458" s="17" t="s">
        <v>57</v>
      </c>
      <c r="F458" s="17"/>
      <c r="G458" s="236"/>
      <c r="H458" s="236"/>
      <c r="I458" s="215"/>
      <c r="J458" s="192">
        <f t="shared" si="8"/>
        <v>0</v>
      </c>
    </row>
    <row r="459" spans="1:10" s="21" customFormat="1" ht="25.5" hidden="1">
      <c r="A459" s="7" t="s">
        <v>58</v>
      </c>
      <c r="B459" s="20"/>
      <c r="C459" s="20"/>
      <c r="D459" s="20"/>
      <c r="E459" s="20"/>
      <c r="F459" s="20" t="s">
        <v>195</v>
      </c>
      <c r="G459" s="236"/>
      <c r="H459" s="236"/>
      <c r="I459" s="215"/>
      <c r="J459" s="192">
        <f aca="true" t="shared" si="9" ref="J459:J522">H459-I459</f>
        <v>0</v>
      </c>
    </row>
    <row r="460" spans="1:10" s="21" customFormat="1" ht="10.5" customHeight="1" hidden="1">
      <c r="A460" s="7" t="s">
        <v>59</v>
      </c>
      <c r="B460" s="20"/>
      <c r="C460" s="20"/>
      <c r="D460" s="20"/>
      <c r="E460" s="20"/>
      <c r="F460" s="20" t="s">
        <v>196</v>
      </c>
      <c r="G460" s="236"/>
      <c r="H460" s="236"/>
      <c r="I460" s="215"/>
      <c r="J460" s="192">
        <f t="shared" si="9"/>
        <v>0</v>
      </c>
    </row>
    <row r="461" spans="1:10" s="21" customFormat="1" ht="12.75" hidden="1">
      <c r="A461" s="7" t="s">
        <v>60</v>
      </c>
      <c r="B461" s="20"/>
      <c r="C461" s="20"/>
      <c r="D461" s="20"/>
      <c r="E461" s="20"/>
      <c r="F461" s="20" t="s">
        <v>197</v>
      </c>
      <c r="G461" s="236"/>
      <c r="H461" s="236"/>
      <c r="I461" s="215"/>
      <c r="J461" s="192">
        <f t="shared" si="9"/>
        <v>0</v>
      </c>
    </row>
    <row r="462" spans="1:10" s="21" customFormat="1" ht="38.25" hidden="1">
      <c r="A462" s="7" t="s">
        <v>61</v>
      </c>
      <c r="B462" s="20"/>
      <c r="C462" s="20"/>
      <c r="D462" s="20"/>
      <c r="E462" s="20"/>
      <c r="F462" s="20" t="s">
        <v>198</v>
      </c>
      <c r="G462" s="236"/>
      <c r="H462" s="236"/>
      <c r="I462" s="215"/>
      <c r="J462" s="192">
        <f t="shared" si="9"/>
        <v>0</v>
      </c>
    </row>
    <row r="463" spans="1:10" s="21" customFormat="1" ht="12.75" hidden="1">
      <c r="A463" s="23" t="s">
        <v>71</v>
      </c>
      <c r="B463" s="24" t="s">
        <v>158</v>
      </c>
      <c r="C463" s="24" t="s">
        <v>141</v>
      </c>
      <c r="D463" s="24" t="s">
        <v>69</v>
      </c>
      <c r="E463" s="24"/>
      <c r="F463" s="24"/>
      <c r="G463" s="236"/>
      <c r="H463" s="236"/>
      <c r="I463" s="215"/>
      <c r="J463" s="192">
        <f t="shared" si="9"/>
        <v>0</v>
      </c>
    </row>
    <row r="464" spans="1:10" s="45" customFormat="1" ht="12.75" customHeight="1" hidden="1">
      <c r="A464" s="43" t="s">
        <v>4</v>
      </c>
      <c r="B464" s="44" t="s">
        <v>158</v>
      </c>
      <c r="C464" s="44" t="s">
        <v>141</v>
      </c>
      <c r="D464" s="44" t="s">
        <v>69</v>
      </c>
      <c r="E464" s="44" t="s">
        <v>5</v>
      </c>
      <c r="F464" s="44"/>
      <c r="G464" s="239"/>
      <c r="H464" s="239"/>
      <c r="I464" s="198"/>
      <c r="J464" s="192">
        <f t="shared" si="9"/>
        <v>0</v>
      </c>
    </row>
    <row r="465" spans="1:10" s="21" customFormat="1" ht="12.75" hidden="1">
      <c r="A465" s="16" t="s">
        <v>6</v>
      </c>
      <c r="B465" s="17" t="s">
        <v>207</v>
      </c>
      <c r="C465" s="17" t="s">
        <v>141</v>
      </c>
      <c r="D465" s="17" t="s">
        <v>69</v>
      </c>
      <c r="E465" s="17" t="s">
        <v>7</v>
      </c>
      <c r="F465" s="17"/>
      <c r="G465" s="236"/>
      <c r="H465" s="236"/>
      <c r="I465" s="215"/>
      <c r="J465" s="192">
        <f t="shared" si="9"/>
        <v>0</v>
      </c>
    </row>
    <row r="466" spans="1:10" s="21" customFormat="1" ht="12.75" hidden="1">
      <c r="A466" s="16" t="s">
        <v>8</v>
      </c>
      <c r="B466" s="17" t="s">
        <v>207</v>
      </c>
      <c r="C466" s="17" t="s">
        <v>141</v>
      </c>
      <c r="D466" s="17" t="s">
        <v>69</v>
      </c>
      <c r="E466" s="17" t="s">
        <v>9</v>
      </c>
      <c r="F466" s="17"/>
      <c r="G466" s="236"/>
      <c r="H466" s="236"/>
      <c r="I466" s="215"/>
      <c r="J466" s="192">
        <f t="shared" si="9"/>
        <v>0</v>
      </c>
    </row>
    <row r="467" spans="1:10" s="21" customFormat="1" ht="25.5" hidden="1">
      <c r="A467" s="11" t="s">
        <v>10</v>
      </c>
      <c r="B467" s="4"/>
      <c r="C467" s="4"/>
      <c r="D467" s="4"/>
      <c r="E467" s="4"/>
      <c r="F467" s="4" t="s">
        <v>183</v>
      </c>
      <c r="G467" s="236"/>
      <c r="H467" s="236"/>
      <c r="I467" s="215"/>
      <c r="J467" s="192">
        <f t="shared" si="9"/>
        <v>0</v>
      </c>
    </row>
    <row r="468" spans="1:10" s="21" customFormat="1" ht="15.75" customHeight="1" hidden="1">
      <c r="A468" s="12" t="s">
        <v>11</v>
      </c>
      <c r="B468" s="4"/>
      <c r="C468" s="4"/>
      <c r="D468" s="4"/>
      <c r="E468" s="4"/>
      <c r="F468" s="4" t="s">
        <v>200</v>
      </c>
      <c r="G468" s="236"/>
      <c r="H468" s="236"/>
      <c r="I468" s="215"/>
      <c r="J468" s="192">
        <f t="shared" si="9"/>
        <v>0</v>
      </c>
    </row>
    <row r="469" spans="1:10" s="30" customFormat="1" ht="12.75" hidden="1">
      <c r="A469" s="65" t="s">
        <v>130</v>
      </c>
      <c r="B469" s="29"/>
      <c r="C469" s="29"/>
      <c r="D469" s="29"/>
      <c r="E469" s="29"/>
      <c r="F469" s="29" t="s">
        <v>199</v>
      </c>
      <c r="G469" s="254"/>
      <c r="H469" s="254"/>
      <c r="I469" s="205"/>
      <c r="J469" s="192">
        <f t="shared" si="9"/>
        <v>0</v>
      </c>
    </row>
    <row r="470" spans="1:10" s="21" customFormat="1" ht="25.5" hidden="1">
      <c r="A470" s="6" t="s">
        <v>12</v>
      </c>
      <c r="B470" s="4"/>
      <c r="C470" s="4"/>
      <c r="D470" s="4"/>
      <c r="E470" s="4"/>
      <c r="F470" s="4" t="s">
        <v>184</v>
      </c>
      <c r="G470" s="236"/>
      <c r="H470" s="236"/>
      <c r="I470" s="215"/>
      <c r="J470" s="192">
        <f t="shared" si="9"/>
        <v>0</v>
      </c>
    </row>
    <row r="471" spans="1:10" s="21" customFormat="1" ht="12.75" hidden="1">
      <c r="A471" s="16" t="s">
        <v>13</v>
      </c>
      <c r="B471" s="17" t="s">
        <v>207</v>
      </c>
      <c r="C471" s="17" t="s">
        <v>141</v>
      </c>
      <c r="D471" s="17" t="s">
        <v>69</v>
      </c>
      <c r="E471" s="17" t="s">
        <v>14</v>
      </c>
      <c r="F471" s="17"/>
      <c r="G471" s="236"/>
      <c r="H471" s="236"/>
      <c r="I471" s="215"/>
      <c r="J471" s="192">
        <f t="shared" si="9"/>
        <v>0</v>
      </c>
    </row>
    <row r="472" spans="1:10" s="45" customFormat="1" ht="12.75" hidden="1">
      <c r="A472" s="43" t="s">
        <v>15</v>
      </c>
      <c r="B472" s="44" t="s">
        <v>207</v>
      </c>
      <c r="C472" s="44" t="s">
        <v>141</v>
      </c>
      <c r="D472" s="44" t="s">
        <v>69</v>
      </c>
      <c r="E472" s="44" t="s">
        <v>16</v>
      </c>
      <c r="F472" s="44"/>
      <c r="G472" s="239"/>
      <c r="H472" s="239"/>
      <c r="I472" s="198"/>
      <c r="J472" s="192">
        <f t="shared" si="9"/>
        <v>0</v>
      </c>
    </row>
    <row r="473" spans="1:10" s="21" customFormat="1" ht="12.75" hidden="1">
      <c r="A473" s="16" t="s">
        <v>17</v>
      </c>
      <c r="B473" s="17" t="s">
        <v>207</v>
      </c>
      <c r="C473" s="17" t="s">
        <v>141</v>
      </c>
      <c r="D473" s="17" t="s">
        <v>69</v>
      </c>
      <c r="E473" s="17" t="s">
        <v>18</v>
      </c>
      <c r="F473" s="17"/>
      <c r="G473" s="236"/>
      <c r="H473" s="236"/>
      <c r="I473" s="215"/>
      <c r="J473" s="192">
        <f t="shared" si="9"/>
        <v>0</v>
      </c>
    </row>
    <row r="474" spans="1:10" s="21" customFormat="1" ht="12.75" hidden="1">
      <c r="A474" s="16" t="s">
        <v>21</v>
      </c>
      <c r="B474" s="17" t="s">
        <v>207</v>
      </c>
      <c r="C474" s="17" t="s">
        <v>141</v>
      </c>
      <c r="D474" s="17" t="s">
        <v>69</v>
      </c>
      <c r="E474" s="17" t="s">
        <v>19</v>
      </c>
      <c r="F474" s="17"/>
      <c r="G474" s="236"/>
      <c r="H474" s="236"/>
      <c r="I474" s="215"/>
      <c r="J474" s="192">
        <f t="shared" si="9"/>
        <v>0</v>
      </c>
    </row>
    <row r="475" spans="1:10" s="21" customFormat="1" ht="25.5" hidden="1">
      <c r="A475" s="11" t="s">
        <v>20</v>
      </c>
      <c r="B475" s="4"/>
      <c r="C475" s="4"/>
      <c r="D475" s="4"/>
      <c r="E475" s="4"/>
      <c r="F475" s="4" t="s">
        <v>183</v>
      </c>
      <c r="G475" s="236"/>
      <c r="H475" s="236"/>
      <c r="I475" s="215"/>
      <c r="J475" s="192">
        <f t="shared" si="9"/>
        <v>0</v>
      </c>
    </row>
    <row r="476" spans="1:10" s="21" customFormat="1" ht="38.25" hidden="1">
      <c r="A476" s="8" t="s">
        <v>22</v>
      </c>
      <c r="B476" s="4"/>
      <c r="C476" s="4"/>
      <c r="D476" s="4"/>
      <c r="E476" s="4"/>
      <c r="F476" s="4" t="s">
        <v>185</v>
      </c>
      <c r="G476" s="236"/>
      <c r="H476" s="236"/>
      <c r="I476" s="215"/>
      <c r="J476" s="192">
        <f t="shared" si="9"/>
        <v>0</v>
      </c>
    </row>
    <row r="477" spans="1:10" s="21" customFormat="1" ht="12.75" hidden="1">
      <c r="A477" s="16" t="s">
        <v>23</v>
      </c>
      <c r="B477" s="17" t="s">
        <v>207</v>
      </c>
      <c r="C477" s="17" t="s">
        <v>141</v>
      </c>
      <c r="D477" s="17" t="s">
        <v>69</v>
      </c>
      <c r="E477" s="17" t="s">
        <v>24</v>
      </c>
      <c r="F477" s="17"/>
      <c r="G477" s="236"/>
      <c r="H477" s="236"/>
      <c r="I477" s="215"/>
      <c r="J477" s="192">
        <f t="shared" si="9"/>
        <v>0</v>
      </c>
    </row>
    <row r="478" spans="1:10" s="21" customFormat="1" ht="25.5" hidden="1">
      <c r="A478" s="7" t="s">
        <v>25</v>
      </c>
      <c r="B478" s="4"/>
      <c r="C478" s="4"/>
      <c r="D478" s="4"/>
      <c r="E478" s="4"/>
      <c r="F478" s="4" t="s">
        <v>186</v>
      </c>
      <c r="G478" s="236"/>
      <c r="H478" s="236"/>
      <c r="I478" s="215"/>
      <c r="J478" s="192">
        <f t="shared" si="9"/>
        <v>0</v>
      </c>
    </row>
    <row r="479" spans="1:10" s="21" customFormat="1" ht="25.5" hidden="1">
      <c r="A479" s="7" t="s">
        <v>26</v>
      </c>
      <c r="B479" s="4"/>
      <c r="C479" s="4"/>
      <c r="D479" s="4"/>
      <c r="E479" s="4"/>
      <c r="F479" s="4" t="s">
        <v>187</v>
      </c>
      <c r="G479" s="236"/>
      <c r="H479" s="236"/>
      <c r="I479" s="215"/>
      <c r="J479" s="192">
        <f t="shared" si="9"/>
        <v>0</v>
      </c>
    </row>
    <row r="480" spans="1:10" s="21" customFormat="1" ht="12.75" hidden="1">
      <c r="A480" s="7" t="s">
        <v>27</v>
      </c>
      <c r="B480" s="4"/>
      <c r="C480" s="4"/>
      <c r="D480" s="4"/>
      <c r="E480" s="4"/>
      <c r="F480" s="4" t="s">
        <v>188</v>
      </c>
      <c r="G480" s="236"/>
      <c r="H480" s="236"/>
      <c r="I480" s="215"/>
      <c r="J480" s="192">
        <f t="shared" si="9"/>
        <v>0</v>
      </c>
    </row>
    <row r="481" spans="1:10" s="21" customFormat="1" ht="14.25" customHeight="1" hidden="1">
      <c r="A481" s="16" t="s">
        <v>28</v>
      </c>
      <c r="B481" s="17" t="s">
        <v>207</v>
      </c>
      <c r="C481" s="17" t="s">
        <v>141</v>
      </c>
      <c r="D481" s="17" t="s">
        <v>69</v>
      </c>
      <c r="E481" s="17" t="s">
        <v>29</v>
      </c>
      <c r="F481" s="17"/>
      <c r="G481" s="236"/>
      <c r="H481" s="236"/>
      <c r="I481" s="215"/>
      <c r="J481" s="192">
        <f t="shared" si="9"/>
        <v>0</v>
      </c>
    </row>
    <row r="482" spans="1:10" s="21" customFormat="1" ht="12.75" hidden="1">
      <c r="A482" s="16" t="s">
        <v>30</v>
      </c>
      <c r="B482" s="17" t="s">
        <v>207</v>
      </c>
      <c r="C482" s="17" t="s">
        <v>141</v>
      </c>
      <c r="D482" s="17" t="s">
        <v>69</v>
      </c>
      <c r="E482" s="17" t="s">
        <v>31</v>
      </c>
      <c r="F482" s="17"/>
      <c r="G482" s="236"/>
      <c r="H482" s="236"/>
      <c r="I482" s="215"/>
      <c r="J482" s="192">
        <f t="shared" si="9"/>
        <v>0</v>
      </c>
    </row>
    <row r="483" spans="1:10" s="21" customFormat="1" ht="12.75" hidden="1">
      <c r="A483" s="7" t="s">
        <v>32</v>
      </c>
      <c r="B483" s="17"/>
      <c r="C483" s="17"/>
      <c r="D483" s="17"/>
      <c r="E483" s="17"/>
      <c r="F483" s="17" t="s">
        <v>189</v>
      </c>
      <c r="G483" s="236"/>
      <c r="H483" s="236"/>
      <c r="I483" s="215"/>
      <c r="J483" s="192">
        <f t="shared" si="9"/>
        <v>0</v>
      </c>
    </row>
    <row r="484" spans="1:10" s="21" customFormat="1" ht="12.75" hidden="1">
      <c r="A484" s="7" t="s">
        <v>33</v>
      </c>
      <c r="B484" s="17"/>
      <c r="C484" s="17"/>
      <c r="D484" s="17"/>
      <c r="E484" s="17"/>
      <c r="F484" s="17" t="s">
        <v>191</v>
      </c>
      <c r="G484" s="236"/>
      <c r="H484" s="236"/>
      <c r="I484" s="215"/>
      <c r="J484" s="192">
        <f t="shared" si="9"/>
        <v>0</v>
      </c>
    </row>
    <row r="485" spans="1:10" s="21" customFormat="1" ht="25.5" hidden="1">
      <c r="A485" s="7" t="s">
        <v>34</v>
      </c>
      <c r="B485" s="17"/>
      <c r="C485" s="17"/>
      <c r="D485" s="17"/>
      <c r="E485" s="17"/>
      <c r="F485" s="17" t="s">
        <v>221</v>
      </c>
      <c r="G485" s="236"/>
      <c r="H485" s="236"/>
      <c r="I485" s="215"/>
      <c r="J485" s="192">
        <f t="shared" si="9"/>
        <v>0</v>
      </c>
    </row>
    <row r="486" spans="1:10" s="21" customFormat="1" ht="25.5" hidden="1">
      <c r="A486" s="7" t="s">
        <v>35</v>
      </c>
      <c r="B486" s="17"/>
      <c r="C486" s="17"/>
      <c r="D486" s="17"/>
      <c r="E486" s="17"/>
      <c r="F486" s="17" t="s">
        <v>190</v>
      </c>
      <c r="G486" s="236"/>
      <c r="H486" s="236"/>
      <c r="I486" s="215"/>
      <c r="J486" s="192">
        <f t="shared" si="9"/>
        <v>0</v>
      </c>
    </row>
    <row r="487" spans="1:10" s="21" customFormat="1" ht="51" hidden="1">
      <c r="A487" s="7" t="s">
        <v>36</v>
      </c>
      <c r="B487" s="17"/>
      <c r="C487" s="17"/>
      <c r="D487" s="17"/>
      <c r="E487" s="17"/>
      <c r="F487" s="17" t="s">
        <v>190</v>
      </c>
      <c r="G487" s="236"/>
      <c r="H487" s="236"/>
      <c r="I487" s="215"/>
      <c r="J487" s="192">
        <f t="shared" si="9"/>
        <v>0</v>
      </c>
    </row>
    <row r="488" spans="1:10" s="21" customFormat="1" ht="12.75" hidden="1">
      <c r="A488" s="16" t="s">
        <v>37</v>
      </c>
      <c r="B488" s="17" t="s">
        <v>207</v>
      </c>
      <c r="C488" s="17" t="s">
        <v>141</v>
      </c>
      <c r="D488" s="17" t="s">
        <v>69</v>
      </c>
      <c r="E488" s="17" t="s">
        <v>38</v>
      </c>
      <c r="F488" s="17"/>
      <c r="G488" s="236"/>
      <c r="H488" s="236"/>
      <c r="I488" s="215"/>
      <c r="J488" s="192">
        <f t="shared" si="9"/>
        <v>0</v>
      </c>
    </row>
    <row r="489" spans="1:10" s="21" customFormat="1" ht="38.25" hidden="1">
      <c r="A489" s="11" t="s">
        <v>39</v>
      </c>
      <c r="B489" s="20"/>
      <c r="C489" s="20"/>
      <c r="D489" s="20"/>
      <c r="E489" s="20"/>
      <c r="F489" s="20" t="s">
        <v>183</v>
      </c>
      <c r="G489" s="236"/>
      <c r="H489" s="236"/>
      <c r="I489" s="215"/>
      <c r="J489" s="192">
        <f t="shared" si="9"/>
        <v>0</v>
      </c>
    </row>
    <row r="490" spans="1:10" s="21" customFormat="1" ht="38.25" hidden="1">
      <c r="A490" s="19" t="s">
        <v>40</v>
      </c>
      <c r="B490" s="20"/>
      <c r="C490" s="20"/>
      <c r="D490" s="20"/>
      <c r="E490" s="20"/>
      <c r="F490" s="20" t="s">
        <v>222</v>
      </c>
      <c r="G490" s="236"/>
      <c r="H490" s="236"/>
      <c r="I490" s="215"/>
      <c r="J490" s="192">
        <f t="shared" si="9"/>
        <v>0</v>
      </c>
    </row>
    <row r="491" spans="1:10" s="21" customFormat="1" ht="24.75" customHeight="1" hidden="1">
      <c r="A491" s="12" t="s">
        <v>41</v>
      </c>
      <c r="B491" s="20"/>
      <c r="C491" s="20"/>
      <c r="D491" s="20"/>
      <c r="E491" s="20"/>
      <c r="F491" s="20" t="s">
        <v>192</v>
      </c>
      <c r="G491" s="236"/>
      <c r="H491" s="236"/>
      <c r="I491" s="215"/>
      <c r="J491" s="192">
        <f t="shared" si="9"/>
        <v>0</v>
      </c>
    </row>
    <row r="492" spans="1:10" s="45" customFormat="1" ht="12.75" hidden="1">
      <c r="A492" s="43" t="s">
        <v>42</v>
      </c>
      <c r="B492" s="44" t="s">
        <v>207</v>
      </c>
      <c r="C492" s="44" t="s">
        <v>141</v>
      </c>
      <c r="D492" s="44" t="s">
        <v>69</v>
      </c>
      <c r="E492" s="44" t="s">
        <v>43</v>
      </c>
      <c r="F492" s="44"/>
      <c r="G492" s="239"/>
      <c r="H492" s="239"/>
      <c r="I492" s="198"/>
      <c r="J492" s="192">
        <f t="shared" si="9"/>
        <v>0</v>
      </c>
    </row>
    <row r="493" spans="1:10" s="21" customFormat="1" ht="12.75" hidden="1">
      <c r="A493" s="16" t="s">
        <v>44</v>
      </c>
      <c r="B493" s="17" t="s">
        <v>207</v>
      </c>
      <c r="C493" s="17" t="s">
        <v>141</v>
      </c>
      <c r="D493" s="17" t="s">
        <v>69</v>
      </c>
      <c r="E493" s="17" t="s">
        <v>45</v>
      </c>
      <c r="F493" s="17"/>
      <c r="G493" s="236"/>
      <c r="H493" s="236"/>
      <c r="I493" s="215"/>
      <c r="J493" s="192">
        <f t="shared" si="9"/>
        <v>0</v>
      </c>
    </row>
    <row r="494" spans="1:10" s="21" customFormat="1" ht="12.75" hidden="1">
      <c r="A494" s="6" t="s">
        <v>46</v>
      </c>
      <c r="B494" s="20"/>
      <c r="C494" s="20"/>
      <c r="D494" s="20"/>
      <c r="E494" s="20"/>
      <c r="F494" s="20"/>
      <c r="G494" s="236"/>
      <c r="H494" s="236"/>
      <c r="I494" s="215"/>
      <c r="J494" s="192">
        <f t="shared" si="9"/>
        <v>0</v>
      </c>
    </row>
    <row r="495" spans="1:10" s="45" customFormat="1" ht="12.75" hidden="1">
      <c r="A495" s="43" t="s">
        <v>47</v>
      </c>
      <c r="B495" s="44" t="s">
        <v>207</v>
      </c>
      <c r="C495" s="44" t="s">
        <v>141</v>
      </c>
      <c r="D495" s="44" t="s">
        <v>69</v>
      </c>
      <c r="E495" s="44" t="s">
        <v>48</v>
      </c>
      <c r="F495" s="44"/>
      <c r="G495" s="239"/>
      <c r="H495" s="239"/>
      <c r="I495" s="198"/>
      <c r="J495" s="192">
        <f t="shared" si="9"/>
        <v>0</v>
      </c>
    </row>
    <row r="496" spans="1:10" s="21" customFormat="1" ht="24" customHeight="1" hidden="1">
      <c r="A496" s="12" t="s">
        <v>41</v>
      </c>
      <c r="B496" s="20"/>
      <c r="C496" s="20"/>
      <c r="D496" s="20"/>
      <c r="E496" s="20"/>
      <c r="F496" s="20"/>
      <c r="G496" s="236"/>
      <c r="H496" s="236"/>
      <c r="I496" s="215"/>
      <c r="J496" s="192">
        <f t="shared" si="9"/>
        <v>0</v>
      </c>
    </row>
    <row r="497" spans="1:10" s="45" customFormat="1" ht="12.75" hidden="1">
      <c r="A497" s="43" t="s">
        <v>49</v>
      </c>
      <c r="B497" s="44" t="s">
        <v>207</v>
      </c>
      <c r="C497" s="44" t="s">
        <v>141</v>
      </c>
      <c r="D497" s="44" t="s">
        <v>69</v>
      </c>
      <c r="E497" s="44" t="s">
        <v>50</v>
      </c>
      <c r="F497" s="44"/>
      <c r="G497" s="239"/>
      <c r="H497" s="239"/>
      <c r="I497" s="198"/>
      <c r="J497" s="192">
        <f t="shared" si="9"/>
        <v>0</v>
      </c>
    </row>
    <row r="498" spans="1:10" s="21" customFormat="1" ht="12.75" hidden="1">
      <c r="A498" s="16" t="s">
        <v>51</v>
      </c>
      <c r="B498" s="17" t="s">
        <v>207</v>
      </c>
      <c r="C498" s="17" t="s">
        <v>141</v>
      </c>
      <c r="D498" s="17" t="s">
        <v>69</v>
      </c>
      <c r="E498" s="17" t="s">
        <v>52</v>
      </c>
      <c r="F498" s="17"/>
      <c r="G498" s="236"/>
      <c r="H498" s="236"/>
      <c r="I498" s="215"/>
      <c r="J498" s="192">
        <f t="shared" si="9"/>
        <v>0</v>
      </c>
    </row>
    <row r="499" spans="1:10" s="21" customFormat="1" ht="12.75" hidden="1">
      <c r="A499" s="7" t="s">
        <v>53</v>
      </c>
      <c r="B499" s="20"/>
      <c r="C499" s="20"/>
      <c r="D499" s="20"/>
      <c r="E499" s="20"/>
      <c r="F499" s="20" t="s">
        <v>223</v>
      </c>
      <c r="G499" s="236"/>
      <c r="H499" s="236"/>
      <c r="I499" s="215"/>
      <c r="J499" s="192">
        <f t="shared" si="9"/>
        <v>0</v>
      </c>
    </row>
    <row r="500" spans="1:10" s="21" customFormat="1" ht="51" hidden="1">
      <c r="A500" s="7" t="s">
        <v>54</v>
      </c>
      <c r="B500" s="20"/>
      <c r="C500" s="20"/>
      <c r="D500" s="20"/>
      <c r="E500" s="20"/>
      <c r="F500" s="20" t="s">
        <v>194</v>
      </c>
      <c r="G500" s="236"/>
      <c r="H500" s="236"/>
      <c r="I500" s="215"/>
      <c r="J500" s="192">
        <f t="shared" si="9"/>
        <v>0</v>
      </c>
    </row>
    <row r="501" spans="1:10" s="21" customFormat="1" ht="50.25" customHeight="1" hidden="1">
      <c r="A501" s="7" t="s">
        <v>55</v>
      </c>
      <c r="B501" s="20"/>
      <c r="C501" s="20"/>
      <c r="D501" s="20"/>
      <c r="E501" s="20"/>
      <c r="F501" s="20" t="s">
        <v>193</v>
      </c>
      <c r="G501" s="236"/>
      <c r="H501" s="236"/>
      <c r="I501" s="215"/>
      <c r="J501" s="192">
        <f t="shared" si="9"/>
        <v>0</v>
      </c>
    </row>
    <row r="502" spans="1:10" s="21" customFormat="1" ht="15" customHeight="1" hidden="1">
      <c r="A502" s="16" t="s">
        <v>56</v>
      </c>
      <c r="B502" s="17" t="s">
        <v>207</v>
      </c>
      <c r="C502" s="17" t="s">
        <v>141</v>
      </c>
      <c r="D502" s="17" t="s">
        <v>69</v>
      </c>
      <c r="E502" s="17" t="s">
        <v>57</v>
      </c>
      <c r="F502" s="17"/>
      <c r="G502" s="236"/>
      <c r="H502" s="236"/>
      <c r="I502" s="215"/>
      <c r="J502" s="192">
        <f t="shared" si="9"/>
        <v>0</v>
      </c>
    </row>
    <row r="503" spans="1:10" s="21" customFormat="1" ht="25.5" hidden="1">
      <c r="A503" s="7" t="s">
        <v>58</v>
      </c>
      <c r="B503" s="20"/>
      <c r="C503" s="20"/>
      <c r="D503" s="20"/>
      <c r="E503" s="20"/>
      <c r="F503" s="20" t="s">
        <v>195</v>
      </c>
      <c r="G503" s="236"/>
      <c r="H503" s="236"/>
      <c r="I503" s="215"/>
      <c r="J503" s="192">
        <f t="shared" si="9"/>
        <v>0</v>
      </c>
    </row>
    <row r="504" spans="1:10" s="21" customFormat="1" ht="12.75" hidden="1">
      <c r="A504" s="7" t="s">
        <v>59</v>
      </c>
      <c r="B504" s="20"/>
      <c r="C504" s="20"/>
      <c r="D504" s="20"/>
      <c r="E504" s="20"/>
      <c r="F504" s="20" t="s">
        <v>196</v>
      </c>
      <c r="G504" s="236"/>
      <c r="H504" s="236"/>
      <c r="I504" s="215"/>
      <c r="J504" s="192">
        <f t="shared" si="9"/>
        <v>0</v>
      </c>
    </row>
    <row r="505" spans="1:10" s="21" customFormat="1" ht="12.75" hidden="1">
      <c r="A505" s="7" t="s">
        <v>60</v>
      </c>
      <c r="B505" s="20"/>
      <c r="C505" s="20"/>
      <c r="D505" s="20"/>
      <c r="E505" s="20"/>
      <c r="F505" s="20" t="s">
        <v>197</v>
      </c>
      <c r="G505" s="236"/>
      <c r="H505" s="236"/>
      <c r="I505" s="215"/>
      <c r="J505" s="192">
        <f t="shared" si="9"/>
        <v>0</v>
      </c>
    </row>
    <row r="506" spans="1:10" s="21" customFormat="1" ht="38.25" hidden="1">
      <c r="A506" s="7" t="s">
        <v>61</v>
      </c>
      <c r="B506" s="20"/>
      <c r="C506" s="20"/>
      <c r="D506" s="20"/>
      <c r="E506" s="20"/>
      <c r="F506" s="20" t="s">
        <v>198</v>
      </c>
      <c r="G506" s="236"/>
      <c r="H506" s="236"/>
      <c r="I506" s="215"/>
      <c r="J506" s="192">
        <f t="shared" si="9"/>
        <v>0</v>
      </c>
    </row>
    <row r="507" spans="1:10" s="21" customFormat="1" ht="25.5" hidden="1">
      <c r="A507" s="26" t="s">
        <v>72</v>
      </c>
      <c r="B507" s="24" t="s">
        <v>158</v>
      </c>
      <c r="C507" s="24" t="s">
        <v>140</v>
      </c>
      <c r="D507" s="24" t="s">
        <v>69</v>
      </c>
      <c r="E507" s="24"/>
      <c r="F507" s="24"/>
      <c r="G507" s="236"/>
      <c r="H507" s="236"/>
      <c r="I507" s="215"/>
      <c r="J507" s="192">
        <f t="shared" si="9"/>
        <v>0</v>
      </c>
    </row>
    <row r="508" spans="1:10" s="45" customFormat="1" ht="15.75" customHeight="1" hidden="1">
      <c r="A508" s="43" t="s">
        <v>4</v>
      </c>
      <c r="B508" s="44" t="s">
        <v>158</v>
      </c>
      <c r="C508" s="44" t="s">
        <v>140</v>
      </c>
      <c r="D508" s="44" t="s">
        <v>69</v>
      </c>
      <c r="E508" s="44" t="s">
        <v>5</v>
      </c>
      <c r="F508" s="44"/>
      <c r="G508" s="239"/>
      <c r="H508" s="239"/>
      <c r="I508" s="198"/>
      <c r="J508" s="192">
        <f t="shared" si="9"/>
        <v>0</v>
      </c>
    </row>
    <row r="509" spans="1:10" s="21" customFormat="1" ht="12.75" hidden="1">
      <c r="A509" s="16" t="s">
        <v>6</v>
      </c>
      <c r="B509" s="17" t="s">
        <v>158</v>
      </c>
      <c r="C509" s="17" t="s">
        <v>140</v>
      </c>
      <c r="D509" s="17" t="s">
        <v>69</v>
      </c>
      <c r="E509" s="17" t="s">
        <v>7</v>
      </c>
      <c r="F509" s="17"/>
      <c r="G509" s="236"/>
      <c r="H509" s="236"/>
      <c r="I509" s="215"/>
      <c r="J509" s="192">
        <f t="shared" si="9"/>
        <v>0</v>
      </c>
    </row>
    <row r="510" spans="1:10" s="21" customFormat="1" ht="12.75" hidden="1">
      <c r="A510" s="16" t="s">
        <v>8</v>
      </c>
      <c r="B510" s="17" t="s">
        <v>158</v>
      </c>
      <c r="C510" s="17" t="s">
        <v>140</v>
      </c>
      <c r="D510" s="17" t="s">
        <v>69</v>
      </c>
      <c r="E510" s="17" t="s">
        <v>9</v>
      </c>
      <c r="F510" s="17"/>
      <c r="G510" s="236"/>
      <c r="H510" s="236"/>
      <c r="I510" s="215"/>
      <c r="J510" s="192">
        <f t="shared" si="9"/>
        <v>0</v>
      </c>
    </row>
    <row r="511" spans="1:10" s="21" customFormat="1" ht="25.5" hidden="1">
      <c r="A511" s="11" t="s">
        <v>10</v>
      </c>
      <c r="B511" s="4"/>
      <c r="C511" s="4"/>
      <c r="D511" s="4"/>
      <c r="E511" s="4"/>
      <c r="F511" s="4" t="s">
        <v>183</v>
      </c>
      <c r="G511" s="236"/>
      <c r="H511" s="236"/>
      <c r="I511" s="215"/>
      <c r="J511" s="192">
        <f t="shared" si="9"/>
        <v>0</v>
      </c>
    </row>
    <row r="512" spans="1:10" s="21" customFormat="1" ht="15.75" customHeight="1" hidden="1">
      <c r="A512" s="12" t="s">
        <v>11</v>
      </c>
      <c r="B512" s="4"/>
      <c r="C512" s="4"/>
      <c r="D512" s="4"/>
      <c r="E512" s="4"/>
      <c r="F512" s="4" t="s">
        <v>200</v>
      </c>
      <c r="G512" s="236"/>
      <c r="H512" s="236"/>
      <c r="I512" s="215"/>
      <c r="J512" s="192">
        <f t="shared" si="9"/>
        <v>0</v>
      </c>
    </row>
    <row r="513" spans="1:10" s="30" customFormat="1" ht="10.5" customHeight="1" hidden="1">
      <c r="A513" s="65" t="s">
        <v>130</v>
      </c>
      <c r="B513" s="29"/>
      <c r="C513" s="29"/>
      <c r="D513" s="29"/>
      <c r="E513" s="29"/>
      <c r="F513" s="29" t="s">
        <v>199</v>
      </c>
      <c r="G513" s="254"/>
      <c r="H513" s="254"/>
      <c r="I513" s="205"/>
      <c r="J513" s="192">
        <f t="shared" si="9"/>
        <v>0</v>
      </c>
    </row>
    <row r="514" spans="1:10" s="21" customFormat="1" ht="25.5" hidden="1">
      <c r="A514" s="6" t="s">
        <v>12</v>
      </c>
      <c r="B514" s="4"/>
      <c r="C514" s="4"/>
      <c r="D514" s="4"/>
      <c r="E514" s="4"/>
      <c r="F514" s="4" t="s">
        <v>184</v>
      </c>
      <c r="G514" s="236"/>
      <c r="H514" s="236"/>
      <c r="I514" s="215"/>
      <c r="J514" s="192">
        <f t="shared" si="9"/>
        <v>0</v>
      </c>
    </row>
    <row r="515" spans="1:10" s="21" customFormat="1" ht="12.75" hidden="1">
      <c r="A515" s="16" t="s">
        <v>13</v>
      </c>
      <c r="B515" s="17" t="s">
        <v>158</v>
      </c>
      <c r="C515" s="17" t="s">
        <v>140</v>
      </c>
      <c r="D515" s="17" t="s">
        <v>69</v>
      </c>
      <c r="E515" s="17" t="s">
        <v>14</v>
      </c>
      <c r="F515" s="17"/>
      <c r="G515" s="236"/>
      <c r="H515" s="236"/>
      <c r="I515" s="215"/>
      <c r="J515" s="192">
        <f t="shared" si="9"/>
        <v>0</v>
      </c>
    </row>
    <row r="516" spans="1:10" s="45" customFormat="1" ht="12.75" hidden="1">
      <c r="A516" s="43" t="s">
        <v>15</v>
      </c>
      <c r="B516" s="44" t="s">
        <v>158</v>
      </c>
      <c r="C516" s="44" t="s">
        <v>140</v>
      </c>
      <c r="D516" s="44" t="s">
        <v>69</v>
      </c>
      <c r="E516" s="44" t="s">
        <v>16</v>
      </c>
      <c r="F516" s="44"/>
      <c r="G516" s="239"/>
      <c r="H516" s="239"/>
      <c r="I516" s="198"/>
      <c r="J516" s="192">
        <f t="shared" si="9"/>
        <v>0</v>
      </c>
    </row>
    <row r="517" spans="1:10" s="21" customFormat="1" ht="12.75" hidden="1">
      <c r="A517" s="16" t="s">
        <v>17</v>
      </c>
      <c r="B517" s="17" t="s">
        <v>158</v>
      </c>
      <c r="C517" s="17" t="s">
        <v>140</v>
      </c>
      <c r="D517" s="17" t="s">
        <v>69</v>
      </c>
      <c r="E517" s="17" t="s">
        <v>18</v>
      </c>
      <c r="F517" s="17"/>
      <c r="G517" s="236"/>
      <c r="H517" s="236"/>
      <c r="I517" s="215"/>
      <c r="J517" s="192">
        <f t="shared" si="9"/>
        <v>0</v>
      </c>
    </row>
    <row r="518" spans="1:10" s="21" customFormat="1" ht="12.75" hidden="1">
      <c r="A518" s="16" t="s">
        <v>21</v>
      </c>
      <c r="B518" s="17" t="s">
        <v>158</v>
      </c>
      <c r="C518" s="17" t="s">
        <v>140</v>
      </c>
      <c r="D518" s="17" t="s">
        <v>69</v>
      </c>
      <c r="E518" s="17" t="s">
        <v>19</v>
      </c>
      <c r="F518" s="17"/>
      <c r="G518" s="236"/>
      <c r="H518" s="236"/>
      <c r="I518" s="215"/>
      <c r="J518" s="192">
        <f t="shared" si="9"/>
        <v>0</v>
      </c>
    </row>
    <row r="519" spans="1:10" s="21" customFormat="1" ht="25.5" hidden="1">
      <c r="A519" s="11" t="s">
        <v>20</v>
      </c>
      <c r="B519" s="4"/>
      <c r="C519" s="4"/>
      <c r="D519" s="4"/>
      <c r="E519" s="4"/>
      <c r="F519" s="4" t="s">
        <v>183</v>
      </c>
      <c r="G519" s="236"/>
      <c r="H519" s="236"/>
      <c r="I519" s="215"/>
      <c r="J519" s="192">
        <f t="shared" si="9"/>
        <v>0</v>
      </c>
    </row>
    <row r="520" spans="1:10" s="21" customFormat="1" ht="38.25" hidden="1">
      <c r="A520" s="8" t="s">
        <v>22</v>
      </c>
      <c r="B520" s="4"/>
      <c r="C520" s="4"/>
      <c r="D520" s="4"/>
      <c r="E520" s="4"/>
      <c r="F520" s="4" t="s">
        <v>185</v>
      </c>
      <c r="G520" s="236"/>
      <c r="H520" s="236"/>
      <c r="I520" s="215"/>
      <c r="J520" s="192">
        <f t="shared" si="9"/>
        <v>0</v>
      </c>
    </row>
    <row r="521" spans="1:10" s="21" customFormat="1" ht="12.75" hidden="1">
      <c r="A521" s="16" t="s">
        <v>23</v>
      </c>
      <c r="B521" s="17" t="s">
        <v>158</v>
      </c>
      <c r="C521" s="17" t="s">
        <v>140</v>
      </c>
      <c r="D521" s="17" t="s">
        <v>69</v>
      </c>
      <c r="E521" s="17" t="s">
        <v>24</v>
      </c>
      <c r="F521" s="17"/>
      <c r="G521" s="236"/>
      <c r="H521" s="236"/>
      <c r="I521" s="215"/>
      <c r="J521" s="192">
        <f t="shared" si="9"/>
        <v>0</v>
      </c>
    </row>
    <row r="522" spans="1:10" s="21" customFormat="1" ht="25.5" hidden="1">
      <c r="A522" s="7" t="s">
        <v>25</v>
      </c>
      <c r="B522" s="4"/>
      <c r="C522" s="4"/>
      <c r="D522" s="4"/>
      <c r="E522" s="4"/>
      <c r="F522" s="4" t="s">
        <v>186</v>
      </c>
      <c r="G522" s="236"/>
      <c r="H522" s="236"/>
      <c r="I522" s="215"/>
      <c r="J522" s="192">
        <f t="shared" si="9"/>
        <v>0</v>
      </c>
    </row>
    <row r="523" spans="1:10" s="21" customFormat="1" ht="25.5" hidden="1">
      <c r="A523" s="7" t="s">
        <v>26</v>
      </c>
      <c r="B523" s="4"/>
      <c r="C523" s="4"/>
      <c r="D523" s="4"/>
      <c r="E523" s="4"/>
      <c r="F523" s="4" t="s">
        <v>187</v>
      </c>
      <c r="G523" s="236"/>
      <c r="H523" s="236"/>
      <c r="I523" s="215"/>
      <c r="J523" s="192">
        <f aca="true" t="shared" si="10" ref="J523:J586">H523-I523</f>
        <v>0</v>
      </c>
    </row>
    <row r="524" spans="1:10" s="21" customFormat="1" ht="12.75" hidden="1">
      <c r="A524" s="7" t="s">
        <v>27</v>
      </c>
      <c r="B524" s="4"/>
      <c r="C524" s="4"/>
      <c r="D524" s="4"/>
      <c r="E524" s="4"/>
      <c r="F524" s="4" t="s">
        <v>188</v>
      </c>
      <c r="G524" s="236"/>
      <c r="H524" s="236"/>
      <c r="I524" s="215"/>
      <c r="J524" s="192">
        <f t="shared" si="10"/>
        <v>0</v>
      </c>
    </row>
    <row r="525" spans="1:10" s="21" customFormat="1" ht="9.75" customHeight="1" hidden="1">
      <c r="A525" s="16" t="s">
        <v>28</v>
      </c>
      <c r="B525" s="17" t="s">
        <v>158</v>
      </c>
      <c r="C525" s="17" t="s">
        <v>140</v>
      </c>
      <c r="D525" s="17" t="s">
        <v>69</v>
      </c>
      <c r="E525" s="17" t="s">
        <v>29</v>
      </c>
      <c r="F525" s="17"/>
      <c r="G525" s="236"/>
      <c r="H525" s="236"/>
      <c r="I525" s="215"/>
      <c r="J525" s="192">
        <f t="shared" si="10"/>
        <v>0</v>
      </c>
    </row>
    <row r="526" spans="1:10" s="21" customFormat="1" ht="12.75" hidden="1">
      <c r="A526" s="16" t="s">
        <v>30</v>
      </c>
      <c r="B526" s="17" t="s">
        <v>158</v>
      </c>
      <c r="C526" s="17" t="s">
        <v>140</v>
      </c>
      <c r="D526" s="17" t="s">
        <v>69</v>
      </c>
      <c r="E526" s="17" t="s">
        <v>31</v>
      </c>
      <c r="F526" s="17"/>
      <c r="G526" s="236"/>
      <c r="H526" s="236"/>
      <c r="I526" s="215"/>
      <c r="J526" s="192">
        <f t="shared" si="10"/>
        <v>0</v>
      </c>
    </row>
    <row r="527" spans="1:10" s="21" customFormat="1" ht="12.75" hidden="1">
      <c r="A527" s="7" t="s">
        <v>32</v>
      </c>
      <c r="B527" s="17"/>
      <c r="C527" s="17"/>
      <c r="D527" s="17"/>
      <c r="E527" s="17"/>
      <c r="F527" s="17" t="s">
        <v>189</v>
      </c>
      <c r="G527" s="236"/>
      <c r="H527" s="236"/>
      <c r="I527" s="215"/>
      <c r="J527" s="192">
        <f t="shared" si="10"/>
        <v>0</v>
      </c>
    </row>
    <row r="528" spans="1:10" s="21" customFormat="1" ht="12.75" hidden="1">
      <c r="A528" s="7" t="s">
        <v>33</v>
      </c>
      <c r="B528" s="17"/>
      <c r="C528" s="17"/>
      <c r="D528" s="17"/>
      <c r="E528" s="17"/>
      <c r="F528" s="17" t="s">
        <v>191</v>
      </c>
      <c r="G528" s="236"/>
      <c r="H528" s="236"/>
      <c r="I528" s="215"/>
      <c r="J528" s="192">
        <f t="shared" si="10"/>
        <v>0</v>
      </c>
    </row>
    <row r="529" spans="1:10" s="21" customFormat="1" ht="25.5" hidden="1">
      <c r="A529" s="7" t="s">
        <v>34</v>
      </c>
      <c r="B529" s="17"/>
      <c r="C529" s="17"/>
      <c r="D529" s="17"/>
      <c r="E529" s="17"/>
      <c r="F529" s="17" t="s">
        <v>221</v>
      </c>
      <c r="G529" s="236"/>
      <c r="H529" s="236"/>
      <c r="I529" s="215"/>
      <c r="J529" s="192">
        <f t="shared" si="10"/>
        <v>0</v>
      </c>
    </row>
    <row r="530" spans="1:10" s="21" customFormat="1" ht="25.5" hidden="1">
      <c r="A530" s="7" t="s">
        <v>35</v>
      </c>
      <c r="B530" s="17"/>
      <c r="C530" s="17"/>
      <c r="D530" s="17"/>
      <c r="E530" s="17"/>
      <c r="F530" s="17" t="s">
        <v>190</v>
      </c>
      <c r="G530" s="236"/>
      <c r="H530" s="236"/>
      <c r="I530" s="215"/>
      <c r="J530" s="192">
        <f t="shared" si="10"/>
        <v>0</v>
      </c>
    </row>
    <row r="531" spans="1:10" s="21" customFormat="1" ht="51" hidden="1">
      <c r="A531" s="7" t="s">
        <v>36</v>
      </c>
      <c r="B531" s="17"/>
      <c r="C531" s="17"/>
      <c r="D531" s="17"/>
      <c r="E531" s="17"/>
      <c r="F531" s="17" t="s">
        <v>190</v>
      </c>
      <c r="G531" s="236"/>
      <c r="H531" s="236"/>
      <c r="I531" s="215"/>
      <c r="J531" s="192">
        <f t="shared" si="10"/>
        <v>0</v>
      </c>
    </row>
    <row r="532" spans="1:10" s="21" customFormat="1" ht="12.75" hidden="1">
      <c r="A532" s="16" t="s">
        <v>37</v>
      </c>
      <c r="B532" s="17" t="s">
        <v>158</v>
      </c>
      <c r="C532" s="17" t="s">
        <v>140</v>
      </c>
      <c r="D532" s="17" t="s">
        <v>69</v>
      </c>
      <c r="E532" s="17" t="s">
        <v>38</v>
      </c>
      <c r="F532" s="17"/>
      <c r="G532" s="236"/>
      <c r="H532" s="236"/>
      <c r="I532" s="215"/>
      <c r="J532" s="192">
        <f t="shared" si="10"/>
        <v>0</v>
      </c>
    </row>
    <row r="533" spans="1:10" s="21" customFormat="1" ht="38.25" hidden="1">
      <c r="A533" s="11" t="s">
        <v>39</v>
      </c>
      <c r="B533" s="20"/>
      <c r="C533" s="20"/>
      <c r="D533" s="20"/>
      <c r="E533" s="20"/>
      <c r="F533" s="20" t="s">
        <v>183</v>
      </c>
      <c r="G533" s="236"/>
      <c r="H533" s="236"/>
      <c r="I533" s="215"/>
      <c r="J533" s="192">
        <f t="shared" si="10"/>
        <v>0</v>
      </c>
    </row>
    <row r="534" spans="1:10" s="21" customFormat="1" ht="38.25" hidden="1">
      <c r="A534" s="19" t="s">
        <v>40</v>
      </c>
      <c r="B534" s="20"/>
      <c r="C534" s="20"/>
      <c r="D534" s="20"/>
      <c r="E534" s="20"/>
      <c r="F534" s="20" t="s">
        <v>222</v>
      </c>
      <c r="G534" s="236"/>
      <c r="H534" s="236"/>
      <c r="I534" s="215"/>
      <c r="J534" s="192">
        <f t="shared" si="10"/>
        <v>0</v>
      </c>
    </row>
    <row r="535" spans="1:10" s="21" customFormat="1" ht="24.75" customHeight="1" hidden="1">
      <c r="A535" s="12" t="s">
        <v>41</v>
      </c>
      <c r="B535" s="20"/>
      <c r="C535" s="20"/>
      <c r="D535" s="20"/>
      <c r="E535" s="20"/>
      <c r="F535" s="20" t="s">
        <v>192</v>
      </c>
      <c r="G535" s="236"/>
      <c r="H535" s="236"/>
      <c r="I535" s="215"/>
      <c r="J535" s="192">
        <f t="shared" si="10"/>
        <v>0</v>
      </c>
    </row>
    <row r="536" spans="1:10" s="45" customFormat="1" ht="12.75" hidden="1">
      <c r="A536" s="43" t="s">
        <v>42</v>
      </c>
      <c r="B536" s="44" t="s">
        <v>158</v>
      </c>
      <c r="C536" s="44" t="s">
        <v>140</v>
      </c>
      <c r="D536" s="44" t="s">
        <v>69</v>
      </c>
      <c r="E536" s="44" t="s">
        <v>43</v>
      </c>
      <c r="F536" s="44"/>
      <c r="G536" s="239"/>
      <c r="H536" s="239"/>
      <c r="I536" s="198"/>
      <c r="J536" s="192">
        <f t="shared" si="10"/>
        <v>0</v>
      </c>
    </row>
    <row r="537" spans="1:10" s="21" customFormat="1" ht="12.75" hidden="1">
      <c r="A537" s="16" t="s">
        <v>44</v>
      </c>
      <c r="B537" s="17" t="s">
        <v>158</v>
      </c>
      <c r="C537" s="17" t="s">
        <v>140</v>
      </c>
      <c r="D537" s="17" t="s">
        <v>69</v>
      </c>
      <c r="E537" s="17" t="s">
        <v>45</v>
      </c>
      <c r="F537" s="17"/>
      <c r="G537" s="236"/>
      <c r="H537" s="236"/>
      <c r="I537" s="215"/>
      <c r="J537" s="192">
        <f t="shared" si="10"/>
        <v>0</v>
      </c>
    </row>
    <row r="538" spans="1:10" s="21" customFormat="1" ht="12.75" hidden="1">
      <c r="A538" s="6" t="s">
        <v>46</v>
      </c>
      <c r="B538" s="20"/>
      <c r="C538" s="20"/>
      <c r="D538" s="20"/>
      <c r="E538" s="20"/>
      <c r="F538" s="20"/>
      <c r="G538" s="236"/>
      <c r="H538" s="236"/>
      <c r="I538" s="215"/>
      <c r="J538" s="192">
        <f t="shared" si="10"/>
        <v>0</v>
      </c>
    </row>
    <row r="539" spans="1:10" s="45" customFormat="1" ht="12.75" hidden="1">
      <c r="A539" s="43" t="s">
        <v>47</v>
      </c>
      <c r="B539" s="44" t="s">
        <v>158</v>
      </c>
      <c r="C539" s="44" t="s">
        <v>140</v>
      </c>
      <c r="D539" s="44" t="s">
        <v>69</v>
      </c>
      <c r="E539" s="44" t="s">
        <v>48</v>
      </c>
      <c r="F539" s="44"/>
      <c r="G539" s="239"/>
      <c r="H539" s="239"/>
      <c r="I539" s="198"/>
      <c r="J539" s="192">
        <f t="shared" si="10"/>
        <v>0</v>
      </c>
    </row>
    <row r="540" spans="1:10" s="21" customFormat="1" ht="25.5" customHeight="1" hidden="1">
      <c r="A540" s="12" t="s">
        <v>41</v>
      </c>
      <c r="B540" s="20"/>
      <c r="C540" s="20"/>
      <c r="D540" s="20"/>
      <c r="E540" s="20"/>
      <c r="F540" s="20"/>
      <c r="G540" s="236"/>
      <c r="H540" s="236"/>
      <c r="I540" s="215"/>
      <c r="J540" s="192">
        <f t="shared" si="10"/>
        <v>0</v>
      </c>
    </row>
    <row r="541" spans="1:10" s="45" customFormat="1" ht="12.75" hidden="1">
      <c r="A541" s="43" t="s">
        <v>49</v>
      </c>
      <c r="B541" s="44" t="s">
        <v>158</v>
      </c>
      <c r="C541" s="44" t="s">
        <v>140</v>
      </c>
      <c r="D541" s="44" t="s">
        <v>69</v>
      </c>
      <c r="E541" s="44" t="s">
        <v>50</v>
      </c>
      <c r="F541" s="44"/>
      <c r="G541" s="239"/>
      <c r="H541" s="239"/>
      <c r="I541" s="198"/>
      <c r="J541" s="192">
        <f t="shared" si="10"/>
        <v>0</v>
      </c>
    </row>
    <row r="542" spans="1:10" s="21" customFormat="1" ht="12.75" hidden="1">
      <c r="A542" s="16" t="s">
        <v>51</v>
      </c>
      <c r="B542" s="17" t="s">
        <v>158</v>
      </c>
      <c r="C542" s="17" t="s">
        <v>140</v>
      </c>
      <c r="D542" s="17" t="s">
        <v>69</v>
      </c>
      <c r="E542" s="17" t="s">
        <v>52</v>
      </c>
      <c r="F542" s="17"/>
      <c r="G542" s="236"/>
      <c r="H542" s="236"/>
      <c r="I542" s="215"/>
      <c r="J542" s="192">
        <f t="shared" si="10"/>
        <v>0</v>
      </c>
    </row>
    <row r="543" spans="1:10" s="21" customFormat="1" ht="12.75" hidden="1">
      <c r="A543" s="7" t="s">
        <v>53</v>
      </c>
      <c r="B543" s="20"/>
      <c r="C543" s="20"/>
      <c r="D543" s="20"/>
      <c r="E543" s="20"/>
      <c r="F543" s="20" t="s">
        <v>223</v>
      </c>
      <c r="G543" s="236"/>
      <c r="H543" s="236"/>
      <c r="I543" s="215"/>
      <c r="J543" s="192">
        <f t="shared" si="10"/>
        <v>0</v>
      </c>
    </row>
    <row r="544" spans="1:10" s="21" customFormat="1" ht="51" hidden="1">
      <c r="A544" s="7" t="s">
        <v>54</v>
      </c>
      <c r="B544" s="20"/>
      <c r="C544" s="20"/>
      <c r="D544" s="20"/>
      <c r="E544" s="20"/>
      <c r="F544" s="20" t="s">
        <v>194</v>
      </c>
      <c r="G544" s="236"/>
      <c r="H544" s="236"/>
      <c r="I544" s="215"/>
      <c r="J544" s="192">
        <f t="shared" si="10"/>
        <v>0</v>
      </c>
    </row>
    <row r="545" spans="1:10" s="21" customFormat="1" ht="48" customHeight="1" hidden="1">
      <c r="A545" s="7" t="s">
        <v>55</v>
      </c>
      <c r="B545" s="20"/>
      <c r="C545" s="20"/>
      <c r="D545" s="20"/>
      <c r="E545" s="20"/>
      <c r="F545" s="20" t="s">
        <v>193</v>
      </c>
      <c r="G545" s="236"/>
      <c r="H545" s="236"/>
      <c r="I545" s="215"/>
      <c r="J545" s="192">
        <f t="shared" si="10"/>
        <v>0</v>
      </c>
    </row>
    <row r="546" spans="1:10" s="21" customFormat="1" ht="15" customHeight="1" hidden="1">
      <c r="A546" s="16" t="s">
        <v>56</v>
      </c>
      <c r="B546" s="17" t="s">
        <v>158</v>
      </c>
      <c r="C546" s="17" t="s">
        <v>140</v>
      </c>
      <c r="D546" s="17" t="s">
        <v>69</v>
      </c>
      <c r="E546" s="17" t="s">
        <v>57</v>
      </c>
      <c r="F546" s="17"/>
      <c r="G546" s="236"/>
      <c r="H546" s="236"/>
      <c r="I546" s="215"/>
      <c r="J546" s="192">
        <f t="shared" si="10"/>
        <v>0</v>
      </c>
    </row>
    <row r="547" spans="1:10" s="21" customFormat="1" ht="25.5" hidden="1">
      <c r="A547" s="7" t="s">
        <v>58</v>
      </c>
      <c r="B547" s="20"/>
      <c r="C547" s="20"/>
      <c r="D547" s="20"/>
      <c r="E547" s="20"/>
      <c r="F547" s="20" t="s">
        <v>195</v>
      </c>
      <c r="G547" s="236"/>
      <c r="H547" s="236"/>
      <c r="I547" s="215"/>
      <c r="J547" s="192">
        <f t="shared" si="10"/>
        <v>0</v>
      </c>
    </row>
    <row r="548" spans="1:10" s="21" customFormat="1" ht="12.75" hidden="1">
      <c r="A548" s="7" t="s">
        <v>59</v>
      </c>
      <c r="B548" s="20"/>
      <c r="C548" s="20"/>
      <c r="D548" s="20"/>
      <c r="E548" s="20"/>
      <c r="F548" s="20" t="s">
        <v>196</v>
      </c>
      <c r="G548" s="236"/>
      <c r="H548" s="236"/>
      <c r="I548" s="215"/>
      <c r="J548" s="192">
        <f t="shared" si="10"/>
        <v>0</v>
      </c>
    </row>
    <row r="549" spans="1:10" s="21" customFormat="1" ht="12.75" hidden="1">
      <c r="A549" s="7" t="s">
        <v>60</v>
      </c>
      <c r="B549" s="20"/>
      <c r="C549" s="20"/>
      <c r="D549" s="20"/>
      <c r="E549" s="20"/>
      <c r="F549" s="20" t="s">
        <v>197</v>
      </c>
      <c r="G549" s="236"/>
      <c r="H549" s="236"/>
      <c r="I549" s="215"/>
      <c r="J549" s="192">
        <f t="shared" si="10"/>
        <v>0</v>
      </c>
    </row>
    <row r="550" spans="1:10" s="21" customFormat="1" ht="38.25" hidden="1">
      <c r="A550" s="7" t="s">
        <v>61</v>
      </c>
      <c r="B550" s="20"/>
      <c r="C550" s="20"/>
      <c r="D550" s="20"/>
      <c r="E550" s="20"/>
      <c r="F550" s="20" t="s">
        <v>198</v>
      </c>
      <c r="G550" s="236"/>
      <c r="H550" s="236"/>
      <c r="I550" s="215"/>
      <c r="J550" s="192">
        <f t="shared" si="10"/>
        <v>0</v>
      </c>
    </row>
    <row r="551" spans="1:13" s="21" customFormat="1" ht="12.75" hidden="1">
      <c r="A551" s="23" t="s">
        <v>73</v>
      </c>
      <c r="B551" s="24" t="s">
        <v>158</v>
      </c>
      <c r="C551" s="24" t="s">
        <v>140</v>
      </c>
      <c r="D551" s="24" t="s">
        <v>69</v>
      </c>
      <c r="E551" s="24"/>
      <c r="F551" s="24"/>
      <c r="G551" s="236"/>
      <c r="H551" s="236"/>
      <c r="I551" s="215"/>
      <c r="J551" s="192">
        <f t="shared" si="10"/>
        <v>0</v>
      </c>
      <c r="K551" s="73"/>
      <c r="L551" s="73"/>
      <c r="M551" s="73"/>
    </row>
    <row r="552" spans="1:13" s="45" customFormat="1" ht="16.5" customHeight="1" hidden="1">
      <c r="A552" s="43" t="s">
        <v>4</v>
      </c>
      <c r="B552" s="44" t="s">
        <v>158</v>
      </c>
      <c r="C552" s="44" t="s">
        <v>140</v>
      </c>
      <c r="D552" s="44" t="s">
        <v>69</v>
      </c>
      <c r="E552" s="44" t="s">
        <v>5</v>
      </c>
      <c r="F552" s="44"/>
      <c r="G552" s="239"/>
      <c r="H552" s="239"/>
      <c r="I552" s="198"/>
      <c r="J552" s="192">
        <f t="shared" si="10"/>
        <v>0</v>
      </c>
      <c r="K552" s="93"/>
      <c r="L552" s="93"/>
      <c r="M552" s="93"/>
    </row>
    <row r="553" spans="1:13" s="21" customFormat="1" ht="12.75" hidden="1">
      <c r="A553" s="16" t="s">
        <v>6</v>
      </c>
      <c r="B553" s="17" t="s">
        <v>207</v>
      </c>
      <c r="C553" s="17" t="s">
        <v>140</v>
      </c>
      <c r="D553" s="17" t="s">
        <v>69</v>
      </c>
      <c r="E553" s="17" t="s">
        <v>7</v>
      </c>
      <c r="F553" s="17"/>
      <c r="G553" s="236"/>
      <c r="H553" s="236"/>
      <c r="I553" s="215"/>
      <c r="J553" s="192">
        <f t="shared" si="10"/>
        <v>0</v>
      </c>
      <c r="K553" s="74"/>
      <c r="L553" s="74"/>
      <c r="M553" s="74"/>
    </row>
    <row r="554" spans="1:13" s="21" customFormat="1" ht="12.75" hidden="1">
      <c r="A554" s="16" t="s">
        <v>8</v>
      </c>
      <c r="B554" s="17" t="s">
        <v>207</v>
      </c>
      <c r="C554" s="17" t="s">
        <v>140</v>
      </c>
      <c r="D554" s="17" t="s">
        <v>69</v>
      </c>
      <c r="E554" s="17" t="s">
        <v>9</v>
      </c>
      <c r="F554" s="17"/>
      <c r="G554" s="236"/>
      <c r="H554" s="236"/>
      <c r="I554" s="215"/>
      <c r="J554" s="192">
        <f t="shared" si="10"/>
        <v>0</v>
      </c>
      <c r="K554" s="74"/>
      <c r="L554" s="74"/>
      <c r="M554" s="74"/>
    </row>
    <row r="555" spans="1:13" s="21" customFormat="1" ht="25.5" hidden="1">
      <c r="A555" s="11" t="s">
        <v>10</v>
      </c>
      <c r="B555" s="4"/>
      <c r="C555" s="4"/>
      <c r="D555" s="4"/>
      <c r="E555" s="4"/>
      <c r="F555" s="4" t="s">
        <v>183</v>
      </c>
      <c r="G555" s="236"/>
      <c r="H555" s="236"/>
      <c r="I555" s="215"/>
      <c r="J555" s="192">
        <f t="shared" si="10"/>
        <v>0</v>
      </c>
      <c r="K555" s="75"/>
      <c r="L555" s="75"/>
      <c r="M555" s="75"/>
    </row>
    <row r="556" spans="1:13" s="21" customFormat="1" ht="14.25" customHeight="1" hidden="1">
      <c r="A556" s="12" t="s">
        <v>11</v>
      </c>
      <c r="B556" s="4"/>
      <c r="C556" s="4"/>
      <c r="D556" s="4"/>
      <c r="E556" s="4"/>
      <c r="F556" s="4" t="s">
        <v>200</v>
      </c>
      <c r="G556" s="236"/>
      <c r="H556" s="236"/>
      <c r="I556" s="215"/>
      <c r="J556" s="192">
        <f t="shared" si="10"/>
        <v>0</v>
      </c>
      <c r="K556" s="75"/>
      <c r="L556" s="75"/>
      <c r="M556" s="75"/>
    </row>
    <row r="557" spans="1:13" s="30" customFormat="1" ht="12.75" hidden="1">
      <c r="A557" s="65" t="s">
        <v>130</v>
      </c>
      <c r="B557" s="29"/>
      <c r="C557" s="29"/>
      <c r="D557" s="29"/>
      <c r="E557" s="29"/>
      <c r="F557" s="29" t="s">
        <v>199</v>
      </c>
      <c r="G557" s="254"/>
      <c r="H557" s="254"/>
      <c r="I557" s="205"/>
      <c r="J557" s="192">
        <f t="shared" si="10"/>
        <v>0</v>
      </c>
      <c r="K557" s="76"/>
      <c r="L557" s="76"/>
      <c r="M557" s="76"/>
    </row>
    <row r="558" spans="1:13" s="21" customFormat="1" ht="25.5" hidden="1">
      <c r="A558" s="6" t="s">
        <v>12</v>
      </c>
      <c r="B558" s="4"/>
      <c r="C558" s="4"/>
      <c r="D558" s="4"/>
      <c r="E558" s="4"/>
      <c r="F558" s="4" t="s">
        <v>184</v>
      </c>
      <c r="G558" s="236"/>
      <c r="H558" s="236"/>
      <c r="I558" s="215"/>
      <c r="J558" s="192">
        <f t="shared" si="10"/>
        <v>0</v>
      </c>
      <c r="K558" s="74"/>
      <c r="L558" s="74"/>
      <c r="M558" s="75"/>
    </row>
    <row r="559" spans="1:13" s="21" customFormat="1" ht="12.75" hidden="1">
      <c r="A559" s="16" t="s">
        <v>13</v>
      </c>
      <c r="B559" s="17" t="s">
        <v>207</v>
      </c>
      <c r="C559" s="17" t="s">
        <v>140</v>
      </c>
      <c r="D559" s="17" t="s">
        <v>69</v>
      </c>
      <c r="E559" s="17" t="s">
        <v>14</v>
      </c>
      <c r="F559" s="17"/>
      <c r="G559" s="236"/>
      <c r="H559" s="236"/>
      <c r="I559" s="215"/>
      <c r="J559" s="192">
        <f t="shared" si="10"/>
        <v>0</v>
      </c>
      <c r="K559" s="74"/>
      <c r="L559" s="74"/>
      <c r="M559" s="74"/>
    </row>
    <row r="560" spans="1:13" s="45" customFormat="1" ht="12.75" hidden="1">
      <c r="A560" s="43" t="s">
        <v>15</v>
      </c>
      <c r="B560" s="44" t="s">
        <v>207</v>
      </c>
      <c r="C560" s="44" t="s">
        <v>140</v>
      </c>
      <c r="D560" s="44" t="s">
        <v>69</v>
      </c>
      <c r="E560" s="44" t="s">
        <v>16</v>
      </c>
      <c r="F560" s="44"/>
      <c r="G560" s="239"/>
      <c r="H560" s="239"/>
      <c r="I560" s="198"/>
      <c r="J560" s="192">
        <f t="shared" si="10"/>
        <v>0</v>
      </c>
      <c r="K560" s="93"/>
      <c r="L560" s="93"/>
      <c r="M560" s="93"/>
    </row>
    <row r="561" spans="1:13" s="21" customFormat="1" ht="12.75" hidden="1">
      <c r="A561" s="16" t="s">
        <v>17</v>
      </c>
      <c r="B561" s="17" t="s">
        <v>207</v>
      </c>
      <c r="C561" s="17" t="s">
        <v>140</v>
      </c>
      <c r="D561" s="17" t="s">
        <v>69</v>
      </c>
      <c r="E561" s="17" t="s">
        <v>18</v>
      </c>
      <c r="F561" s="17"/>
      <c r="G561" s="236"/>
      <c r="H561" s="236"/>
      <c r="I561" s="215"/>
      <c r="J561" s="192">
        <f t="shared" si="10"/>
        <v>0</v>
      </c>
      <c r="K561" s="74"/>
      <c r="L561" s="74"/>
      <c r="M561" s="74"/>
    </row>
    <row r="562" spans="1:13" s="21" customFormat="1" ht="12.75" hidden="1">
      <c r="A562" s="16" t="s">
        <v>21</v>
      </c>
      <c r="B562" s="17" t="s">
        <v>207</v>
      </c>
      <c r="C562" s="17" t="s">
        <v>140</v>
      </c>
      <c r="D562" s="17" t="s">
        <v>69</v>
      </c>
      <c r="E562" s="17" t="s">
        <v>19</v>
      </c>
      <c r="F562" s="17"/>
      <c r="G562" s="236"/>
      <c r="H562" s="236"/>
      <c r="I562" s="215"/>
      <c r="J562" s="192">
        <f t="shared" si="10"/>
        <v>0</v>
      </c>
      <c r="K562" s="74"/>
      <c r="L562" s="74"/>
      <c r="M562" s="74"/>
    </row>
    <row r="563" spans="1:13" s="21" customFormat="1" ht="25.5" hidden="1">
      <c r="A563" s="11" t="s">
        <v>20</v>
      </c>
      <c r="B563" s="4"/>
      <c r="C563" s="4"/>
      <c r="D563" s="4"/>
      <c r="E563" s="4"/>
      <c r="F563" s="4" t="s">
        <v>183</v>
      </c>
      <c r="G563" s="236"/>
      <c r="H563" s="236"/>
      <c r="I563" s="215"/>
      <c r="J563" s="192">
        <f t="shared" si="10"/>
        <v>0</v>
      </c>
      <c r="K563" s="75"/>
      <c r="L563" s="75"/>
      <c r="M563" s="75"/>
    </row>
    <row r="564" spans="1:13" s="21" customFormat="1" ht="38.25" hidden="1">
      <c r="A564" s="8" t="s">
        <v>22</v>
      </c>
      <c r="B564" s="4"/>
      <c r="C564" s="4"/>
      <c r="D564" s="4"/>
      <c r="E564" s="4"/>
      <c r="F564" s="4" t="s">
        <v>185</v>
      </c>
      <c r="G564" s="236"/>
      <c r="H564" s="236"/>
      <c r="I564" s="215"/>
      <c r="J564" s="192">
        <f t="shared" si="10"/>
        <v>0</v>
      </c>
      <c r="K564" s="75"/>
      <c r="L564" s="75"/>
      <c r="M564" s="75"/>
    </row>
    <row r="565" spans="1:13" s="21" customFormat="1" ht="12.75" hidden="1">
      <c r="A565" s="16" t="s">
        <v>23</v>
      </c>
      <c r="B565" s="17" t="s">
        <v>207</v>
      </c>
      <c r="C565" s="17" t="s">
        <v>140</v>
      </c>
      <c r="D565" s="17" t="s">
        <v>69</v>
      </c>
      <c r="E565" s="17" t="s">
        <v>24</v>
      </c>
      <c r="F565" s="17"/>
      <c r="G565" s="236"/>
      <c r="H565" s="236"/>
      <c r="I565" s="215"/>
      <c r="J565" s="192">
        <f t="shared" si="10"/>
        <v>0</v>
      </c>
      <c r="K565" s="74"/>
      <c r="L565" s="74"/>
      <c r="M565" s="74"/>
    </row>
    <row r="566" spans="1:13" s="21" customFormat="1" ht="25.5" hidden="1">
      <c r="A566" s="7" t="s">
        <v>25</v>
      </c>
      <c r="B566" s="4"/>
      <c r="C566" s="4"/>
      <c r="D566" s="4"/>
      <c r="E566" s="4"/>
      <c r="F566" s="4" t="s">
        <v>186</v>
      </c>
      <c r="G566" s="236"/>
      <c r="H566" s="236"/>
      <c r="I566" s="215"/>
      <c r="J566" s="192">
        <f t="shared" si="10"/>
        <v>0</v>
      </c>
      <c r="K566" s="75"/>
      <c r="L566" s="75"/>
      <c r="M566" s="75"/>
    </row>
    <row r="567" spans="1:13" s="21" customFormat="1" ht="25.5" customHeight="1" hidden="1">
      <c r="A567" s="7" t="s">
        <v>26</v>
      </c>
      <c r="B567" s="4"/>
      <c r="C567" s="4"/>
      <c r="D567" s="4"/>
      <c r="E567" s="4"/>
      <c r="F567" s="4" t="s">
        <v>187</v>
      </c>
      <c r="G567" s="236"/>
      <c r="H567" s="236"/>
      <c r="I567" s="215"/>
      <c r="J567" s="192">
        <f t="shared" si="10"/>
        <v>0</v>
      </c>
      <c r="K567" s="75"/>
      <c r="L567" s="75"/>
      <c r="M567" s="75"/>
    </row>
    <row r="568" spans="1:13" s="21" customFormat="1" ht="12.75" hidden="1">
      <c r="A568" s="7" t="s">
        <v>27</v>
      </c>
      <c r="B568" s="4"/>
      <c r="C568" s="4"/>
      <c r="D568" s="4"/>
      <c r="E568" s="4"/>
      <c r="F568" s="4" t="s">
        <v>188</v>
      </c>
      <c r="G568" s="236"/>
      <c r="H568" s="236"/>
      <c r="I568" s="215"/>
      <c r="J568" s="192">
        <f t="shared" si="10"/>
        <v>0</v>
      </c>
      <c r="K568" s="75"/>
      <c r="L568" s="75"/>
      <c r="M568" s="75"/>
    </row>
    <row r="569" spans="1:13" s="21" customFormat="1" ht="15.75" customHeight="1" hidden="1">
      <c r="A569" s="16" t="s">
        <v>28</v>
      </c>
      <c r="B569" s="17" t="s">
        <v>207</v>
      </c>
      <c r="C569" s="17" t="s">
        <v>140</v>
      </c>
      <c r="D569" s="17" t="s">
        <v>69</v>
      </c>
      <c r="E569" s="17" t="s">
        <v>29</v>
      </c>
      <c r="F569" s="17"/>
      <c r="G569" s="236"/>
      <c r="H569" s="236"/>
      <c r="I569" s="215"/>
      <c r="J569" s="192">
        <f t="shared" si="10"/>
        <v>0</v>
      </c>
      <c r="K569" s="74"/>
      <c r="L569" s="74"/>
      <c r="M569" s="74"/>
    </row>
    <row r="570" spans="1:13" s="21" customFormat="1" ht="12.75" hidden="1">
      <c r="A570" s="16" t="s">
        <v>30</v>
      </c>
      <c r="B570" s="17" t="s">
        <v>207</v>
      </c>
      <c r="C570" s="17" t="s">
        <v>140</v>
      </c>
      <c r="D570" s="17" t="s">
        <v>69</v>
      </c>
      <c r="E570" s="17" t="s">
        <v>31</v>
      </c>
      <c r="F570" s="17"/>
      <c r="G570" s="236"/>
      <c r="H570" s="236"/>
      <c r="I570" s="215"/>
      <c r="J570" s="192">
        <f t="shared" si="10"/>
        <v>0</v>
      </c>
      <c r="K570" s="74"/>
      <c r="L570" s="74"/>
      <c r="M570" s="74"/>
    </row>
    <row r="571" spans="1:13" s="21" customFormat="1" ht="12.75" hidden="1">
      <c r="A571" s="7" t="s">
        <v>32</v>
      </c>
      <c r="B571" s="17"/>
      <c r="C571" s="17"/>
      <c r="D571" s="17"/>
      <c r="E571" s="17"/>
      <c r="F571" s="17" t="s">
        <v>189</v>
      </c>
      <c r="G571" s="236"/>
      <c r="H571" s="236"/>
      <c r="I571" s="215"/>
      <c r="J571" s="192">
        <f t="shared" si="10"/>
        <v>0</v>
      </c>
      <c r="K571" s="74"/>
      <c r="L571" s="74"/>
      <c r="M571" s="74"/>
    </row>
    <row r="572" spans="1:13" s="21" customFormat="1" ht="12.75" hidden="1">
      <c r="A572" s="7" t="s">
        <v>33</v>
      </c>
      <c r="B572" s="17"/>
      <c r="C572" s="17"/>
      <c r="D572" s="17"/>
      <c r="E572" s="17"/>
      <c r="F572" s="17" t="s">
        <v>191</v>
      </c>
      <c r="G572" s="236"/>
      <c r="H572" s="236"/>
      <c r="I572" s="215"/>
      <c r="J572" s="192">
        <f t="shared" si="10"/>
        <v>0</v>
      </c>
      <c r="K572" s="74"/>
      <c r="L572" s="74"/>
      <c r="M572" s="74"/>
    </row>
    <row r="573" spans="1:13" s="21" customFormat="1" ht="25.5" hidden="1">
      <c r="A573" s="7" t="s">
        <v>34</v>
      </c>
      <c r="B573" s="17"/>
      <c r="C573" s="17"/>
      <c r="D573" s="17"/>
      <c r="E573" s="17"/>
      <c r="F573" s="17" t="s">
        <v>221</v>
      </c>
      <c r="G573" s="236"/>
      <c r="H573" s="236"/>
      <c r="I573" s="215"/>
      <c r="J573" s="192">
        <f t="shared" si="10"/>
        <v>0</v>
      </c>
      <c r="K573" s="74"/>
      <c r="L573" s="74"/>
      <c r="M573" s="74"/>
    </row>
    <row r="574" spans="1:13" s="21" customFormat="1" ht="25.5" hidden="1">
      <c r="A574" s="7" t="s">
        <v>35</v>
      </c>
      <c r="B574" s="17"/>
      <c r="C574" s="17"/>
      <c r="D574" s="17"/>
      <c r="E574" s="17"/>
      <c r="F574" s="17" t="s">
        <v>190</v>
      </c>
      <c r="G574" s="236"/>
      <c r="H574" s="236"/>
      <c r="I574" s="215"/>
      <c r="J574" s="192">
        <f t="shared" si="10"/>
        <v>0</v>
      </c>
      <c r="K574" s="74"/>
      <c r="L574" s="74"/>
      <c r="M574" s="74"/>
    </row>
    <row r="575" spans="1:13" s="21" customFormat="1" ht="51" hidden="1">
      <c r="A575" s="7" t="s">
        <v>36</v>
      </c>
      <c r="B575" s="17"/>
      <c r="C575" s="17"/>
      <c r="D575" s="17"/>
      <c r="E575" s="17"/>
      <c r="F575" s="17" t="s">
        <v>190</v>
      </c>
      <c r="G575" s="236"/>
      <c r="H575" s="236"/>
      <c r="I575" s="215"/>
      <c r="J575" s="192">
        <f t="shared" si="10"/>
        <v>0</v>
      </c>
      <c r="K575" s="74"/>
      <c r="L575" s="74"/>
      <c r="M575" s="74"/>
    </row>
    <row r="576" spans="1:13" s="21" customFormat="1" ht="12.75" hidden="1">
      <c r="A576" s="16" t="s">
        <v>37</v>
      </c>
      <c r="B576" s="17" t="s">
        <v>207</v>
      </c>
      <c r="C576" s="17" t="s">
        <v>140</v>
      </c>
      <c r="D576" s="17" t="s">
        <v>69</v>
      </c>
      <c r="E576" s="17" t="s">
        <v>38</v>
      </c>
      <c r="F576" s="17"/>
      <c r="G576" s="236"/>
      <c r="H576" s="236"/>
      <c r="I576" s="215"/>
      <c r="J576" s="192">
        <f t="shared" si="10"/>
        <v>0</v>
      </c>
      <c r="K576" s="74"/>
      <c r="L576" s="74"/>
      <c r="M576" s="74"/>
    </row>
    <row r="577" spans="1:13" s="21" customFormat="1" ht="38.25" hidden="1">
      <c r="A577" s="11" t="s">
        <v>39</v>
      </c>
      <c r="B577" s="20"/>
      <c r="C577" s="20"/>
      <c r="D577" s="20"/>
      <c r="E577" s="20"/>
      <c r="F577" s="20" t="s">
        <v>183</v>
      </c>
      <c r="G577" s="236"/>
      <c r="H577" s="236"/>
      <c r="I577" s="215"/>
      <c r="J577" s="192">
        <f t="shared" si="10"/>
        <v>0</v>
      </c>
      <c r="K577" s="77"/>
      <c r="L577" s="77"/>
      <c r="M577" s="77"/>
    </row>
    <row r="578" spans="1:13" s="21" customFormat="1" ht="38.25" hidden="1">
      <c r="A578" s="19" t="s">
        <v>40</v>
      </c>
      <c r="B578" s="20"/>
      <c r="C578" s="20"/>
      <c r="D578" s="20"/>
      <c r="E578" s="20"/>
      <c r="F578" s="20" t="s">
        <v>222</v>
      </c>
      <c r="G578" s="236"/>
      <c r="H578" s="236"/>
      <c r="I578" s="215"/>
      <c r="J578" s="192">
        <f t="shared" si="10"/>
        <v>0</v>
      </c>
      <c r="K578" s="77"/>
      <c r="L578" s="77"/>
      <c r="M578" s="77"/>
    </row>
    <row r="579" spans="1:13" s="21" customFormat="1" ht="25.5" hidden="1">
      <c r="A579" s="12" t="s">
        <v>41</v>
      </c>
      <c r="B579" s="20"/>
      <c r="C579" s="20"/>
      <c r="D579" s="20"/>
      <c r="E579" s="20"/>
      <c r="F579" s="20" t="s">
        <v>192</v>
      </c>
      <c r="G579" s="236"/>
      <c r="H579" s="236"/>
      <c r="I579" s="215"/>
      <c r="J579" s="192">
        <f t="shared" si="10"/>
        <v>0</v>
      </c>
      <c r="K579" s="77"/>
      <c r="L579" s="77"/>
      <c r="M579" s="77"/>
    </row>
    <row r="580" spans="1:13" s="45" customFormat="1" ht="12.75" hidden="1">
      <c r="A580" s="43" t="s">
        <v>42</v>
      </c>
      <c r="B580" s="44" t="s">
        <v>207</v>
      </c>
      <c r="C580" s="44" t="s">
        <v>140</v>
      </c>
      <c r="D580" s="44" t="s">
        <v>69</v>
      </c>
      <c r="E580" s="44" t="s">
        <v>43</v>
      </c>
      <c r="F580" s="44"/>
      <c r="G580" s="239"/>
      <c r="H580" s="239"/>
      <c r="I580" s="198"/>
      <c r="J580" s="192">
        <f t="shared" si="10"/>
        <v>0</v>
      </c>
      <c r="K580" s="93"/>
      <c r="L580" s="93"/>
      <c r="M580" s="93"/>
    </row>
    <row r="581" spans="1:13" s="21" customFormat="1" ht="10.5" customHeight="1" hidden="1">
      <c r="A581" s="16" t="s">
        <v>44</v>
      </c>
      <c r="B581" s="17" t="s">
        <v>207</v>
      </c>
      <c r="C581" s="17" t="s">
        <v>140</v>
      </c>
      <c r="D581" s="17" t="s">
        <v>69</v>
      </c>
      <c r="E581" s="17" t="s">
        <v>45</v>
      </c>
      <c r="F581" s="17"/>
      <c r="G581" s="236"/>
      <c r="H581" s="236"/>
      <c r="I581" s="215"/>
      <c r="J581" s="192">
        <f t="shared" si="10"/>
        <v>0</v>
      </c>
      <c r="K581" s="74"/>
      <c r="L581" s="74"/>
      <c r="M581" s="74"/>
    </row>
    <row r="582" spans="1:13" s="21" customFormat="1" ht="12.75" hidden="1">
      <c r="A582" s="6" t="s">
        <v>46</v>
      </c>
      <c r="B582" s="20"/>
      <c r="C582" s="20"/>
      <c r="D582" s="20"/>
      <c r="E582" s="20"/>
      <c r="F582" s="20"/>
      <c r="G582" s="236"/>
      <c r="H582" s="236"/>
      <c r="I582" s="215"/>
      <c r="J582" s="192">
        <f t="shared" si="10"/>
        <v>0</v>
      </c>
      <c r="K582" s="77"/>
      <c r="L582" s="77"/>
      <c r="M582" s="77"/>
    </row>
    <row r="583" spans="1:13" s="45" customFormat="1" ht="12.75" hidden="1">
      <c r="A583" s="43" t="s">
        <v>47</v>
      </c>
      <c r="B583" s="44" t="s">
        <v>207</v>
      </c>
      <c r="C583" s="44" t="s">
        <v>140</v>
      </c>
      <c r="D583" s="44" t="s">
        <v>69</v>
      </c>
      <c r="E583" s="44" t="s">
        <v>48</v>
      </c>
      <c r="F583" s="44"/>
      <c r="G583" s="239"/>
      <c r="H583" s="239"/>
      <c r="I583" s="198"/>
      <c r="J583" s="192">
        <f t="shared" si="10"/>
        <v>0</v>
      </c>
      <c r="K583" s="93"/>
      <c r="L583" s="93"/>
      <c r="M583" s="93"/>
    </row>
    <row r="584" spans="1:13" s="21" customFormat="1" ht="26.25" customHeight="1" hidden="1">
      <c r="A584" s="12" t="s">
        <v>41</v>
      </c>
      <c r="B584" s="20"/>
      <c r="C584" s="20"/>
      <c r="D584" s="20"/>
      <c r="E584" s="20"/>
      <c r="F584" s="20"/>
      <c r="G584" s="236"/>
      <c r="H584" s="236"/>
      <c r="I584" s="215"/>
      <c r="J584" s="192">
        <f t="shared" si="10"/>
        <v>0</v>
      </c>
      <c r="K584" s="77"/>
      <c r="L584" s="77"/>
      <c r="M584" s="77"/>
    </row>
    <row r="585" spans="1:13" s="45" customFormat="1" ht="12.75" hidden="1">
      <c r="A585" s="43" t="s">
        <v>49</v>
      </c>
      <c r="B585" s="44" t="s">
        <v>207</v>
      </c>
      <c r="C585" s="44" t="s">
        <v>140</v>
      </c>
      <c r="D585" s="44" t="s">
        <v>69</v>
      </c>
      <c r="E585" s="44" t="s">
        <v>50</v>
      </c>
      <c r="F585" s="44"/>
      <c r="G585" s="239"/>
      <c r="H585" s="239"/>
      <c r="I585" s="198"/>
      <c r="J585" s="192">
        <f t="shared" si="10"/>
        <v>0</v>
      </c>
      <c r="K585" s="93"/>
      <c r="L585" s="93"/>
      <c r="M585" s="93"/>
    </row>
    <row r="586" spans="1:13" s="21" customFormat="1" ht="12.75" hidden="1">
      <c r="A586" s="16" t="s">
        <v>51</v>
      </c>
      <c r="B586" s="17" t="s">
        <v>207</v>
      </c>
      <c r="C586" s="17" t="s">
        <v>140</v>
      </c>
      <c r="D586" s="17" t="s">
        <v>69</v>
      </c>
      <c r="E586" s="17" t="s">
        <v>52</v>
      </c>
      <c r="F586" s="17"/>
      <c r="G586" s="236"/>
      <c r="H586" s="236"/>
      <c r="I586" s="215"/>
      <c r="J586" s="192">
        <f t="shared" si="10"/>
        <v>0</v>
      </c>
      <c r="K586" s="74"/>
      <c r="L586" s="74"/>
      <c r="M586" s="74"/>
    </row>
    <row r="587" spans="1:13" s="21" customFormat="1" ht="12.75" hidden="1">
      <c r="A587" s="7" t="s">
        <v>53</v>
      </c>
      <c r="B587" s="20"/>
      <c r="C587" s="20"/>
      <c r="D587" s="20"/>
      <c r="E587" s="20"/>
      <c r="F587" s="20" t="s">
        <v>223</v>
      </c>
      <c r="G587" s="236"/>
      <c r="H587" s="236"/>
      <c r="I587" s="215"/>
      <c r="J587" s="192">
        <f aca="true" t="shared" si="11" ref="J587:J650">H587-I587</f>
        <v>0</v>
      </c>
      <c r="K587" s="77"/>
      <c r="L587" s="77"/>
      <c r="M587" s="77"/>
    </row>
    <row r="588" spans="1:13" s="21" customFormat="1" ht="51" hidden="1">
      <c r="A588" s="7" t="s">
        <v>54</v>
      </c>
      <c r="B588" s="20"/>
      <c r="C588" s="20"/>
      <c r="D588" s="20"/>
      <c r="E588" s="20"/>
      <c r="F588" s="20" t="s">
        <v>194</v>
      </c>
      <c r="G588" s="236"/>
      <c r="H588" s="236"/>
      <c r="I588" s="215"/>
      <c r="J588" s="192">
        <f t="shared" si="11"/>
        <v>0</v>
      </c>
      <c r="K588" s="77"/>
      <c r="L588" s="77"/>
      <c r="M588" s="77"/>
    </row>
    <row r="589" spans="1:13" s="21" customFormat="1" ht="52.5" customHeight="1" hidden="1">
      <c r="A589" s="7" t="s">
        <v>55</v>
      </c>
      <c r="B589" s="20"/>
      <c r="C589" s="20"/>
      <c r="D589" s="20"/>
      <c r="E589" s="20"/>
      <c r="F589" s="20" t="s">
        <v>193</v>
      </c>
      <c r="G589" s="236"/>
      <c r="H589" s="236"/>
      <c r="I589" s="215"/>
      <c r="J589" s="192">
        <f t="shared" si="11"/>
        <v>0</v>
      </c>
      <c r="K589" s="77"/>
      <c r="L589" s="77"/>
      <c r="M589" s="77"/>
    </row>
    <row r="590" spans="1:13" s="21" customFormat="1" ht="17.25" customHeight="1" hidden="1">
      <c r="A590" s="16" t="s">
        <v>56</v>
      </c>
      <c r="B590" s="17" t="s">
        <v>207</v>
      </c>
      <c r="C590" s="17" t="s">
        <v>140</v>
      </c>
      <c r="D590" s="17" t="s">
        <v>69</v>
      </c>
      <c r="E590" s="17" t="s">
        <v>57</v>
      </c>
      <c r="F590" s="17"/>
      <c r="G590" s="236"/>
      <c r="H590" s="236"/>
      <c r="I590" s="215"/>
      <c r="J590" s="192">
        <f t="shared" si="11"/>
        <v>0</v>
      </c>
      <c r="K590" s="74"/>
      <c r="L590" s="74"/>
      <c r="M590" s="74"/>
    </row>
    <row r="591" spans="1:13" s="21" customFormat="1" ht="25.5" hidden="1">
      <c r="A591" s="7" t="s">
        <v>58</v>
      </c>
      <c r="B591" s="20"/>
      <c r="C591" s="20"/>
      <c r="D591" s="20"/>
      <c r="E591" s="20"/>
      <c r="F591" s="20" t="s">
        <v>195</v>
      </c>
      <c r="G591" s="236"/>
      <c r="H591" s="236"/>
      <c r="I591" s="215"/>
      <c r="J591" s="192">
        <f t="shared" si="11"/>
        <v>0</v>
      </c>
      <c r="K591" s="77"/>
      <c r="L591" s="77"/>
      <c r="M591" s="77"/>
    </row>
    <row r="592" spans="1:13" s="21" customFormat="1" ht="12.75" hidden="1">
      <c r="A592" s="7" t="s">
        <v>59</v>
      </c>
      <c r="B592" s="20"/>
      <c r="C592" s="20"/>
      <c r="D592" s="20"/>
      <c r="E592" s="20"/>
      <c r="F592" s="20" t="s">
        <v>196</v>
      </c>
      <c r="G592" s="236"/>
      <c r="H592" s="236"/>
      <c r="I592" s="215"/>
      <c r="J592" s="192">
        <f t="shared" si="11"/>
        <v>0</v>
      </c>
      <c r="K592" s="77"/>
      <c r="L592" s="77"/>
      <c r="M592" s="77"/>
    </row>
    <row r="593" spans="1:13" s="21" customFormat="1" ht="12.75" hidden="1">
      <c r="A593" s="7" t="s">
        <v>60</v>
      </c>
      <c r="B593" s="20"/>
      <c r="C593" s="20"/>
      <c r="D593" s="20"/>
      <c r="E593" s="20"/>
      <c r="F593" s="20" t="s">
        <v>197</v>
      </c>
      <c r="G593" s="236"/>
      <c r="H593" s="236"/>
      <c r="I593" s="215"/>
      <c r="J593" s="192">
        <f t="shared" si="11"/>
        <v>0</v>
      </c>
      <c r="K593" s="77"/>
      <c r="L593" s="77"/>
      <c r="M593" s="77"/>
    </row>
    <row r="594" spans="1:13" s="21" customFormat="1" ht="26.25" customHeight="1" hidden="1">
      <c r="A594" s="7" t="s">
        <v>61</v>
      </c>
      <c r="B594" s="20"/>
      <c r="C594" s="20"/>
      <c r="D594" s="20"/>
      <c r="E594" s="20"/>
      <c r="F594" s="20" t="s">
        <v>198</v>
      </c>
      <c r="G594" s="236"/>
      <c r="H594" s="236"/>
      <c r="I594" s="215"/>
      <c r="J594" s="192">
        <f t="shared" si="11"/>
        <v>0</v>
      </c>
      <c r="K594" s="77"/>
      <c r="L594" s="77"/>
      <c r="M594" s="77"/>
    </row>
    <row r="595" spans="1:10" s="21" customFormat="1" ht="12.75" hidden="1">
      <c r="A595" s="7"/>
      <c r="B595" s="20"/>
      <c r="C595" s="20"/>
      <c r="D595" s="20"/>
      <c r="E595" s="20"/>
      <c r="F595" s="20"/>
      <c r="G595" s="236"/>
      <c r="H595" s="236"/>
      <c r="I595" s="215"/>
      <c r="J595" s="192">
        <f t="shared" si="11"/>
        <v>0</v>
      </c>
    </row>
    <row r="596" spans="1:10" s="21" customFormat="1" ht="12.75" hidden="1">
      <c r="A596" s="26" t="s">
        <v>74</v>
      </c>
      <c r="B596" s="24" t="s">
        <v>159</v>
      </c>
      <c r="C596" s="24" t="s">
        <v>88</v>
      </c>
      <c r="D596" s="24" t="s">
        <v>2</v>
      </c>
      <c r="E596" s="24"/>
      <c r="F596" s="24"/>
      <c r="G596" s="236"/>
      <c r="H596" s="236"/>
      <c r="I596" s="215"/>
      <c r="J596" s="192">
        <f t="shared" si="11"/>
        <v>0</v>
      </c>
    </row>
    <row r="597" spans="1:10" s="46" customFormat="1" ht="46.5" customHeight="1" hidden="1">
      <c r="A597" s="26" t="s">
        <v>124</v>
      </c>
      <c r="B597" s="24" t="s">
        <v>159</v>
      </c>
      <c r="C597" s="24" t="s">
        <v>125</v>
      </c>
      <c r="D597" s="24" t="s">
        <v>69</v>
      </c>
      <c r="E597" s="24"/>
      <c r="F597" s="24"/>
      <c r="G597" s="242"/>
      <c r="H597" s="242"/>
      <c r="I597" s="215"/>
      <c r="J597" s="192">
        <f t="shared" si="11"/>
        <v>0</v>
      </c>
    </row>
    <row r="598" spans="1:10" s="21" customFormat="1" ht="14.25" customHeight="1" hidden="1">
      <c r="A598" s="10" t="s">
        <v>4</v>
      </c>
      <c r="B598" s="14" t="s">
        <v>208</v>
      </c>
      <c r="C598" s="14" t="s">
        <v>125</v>
      </c>
      <c r="D598" s="14" t="s">
        <v>69</v>
      </c>
      <c r="E598" s="14" t="s">
        <v>5</v>
      </c>
      <c r="F598" s="14"/>
      <c r="G598" s="236"/>
      <c r="H598" s="236"/>
      <c r="I598" s="215"/>
      <c r="J598" s="192">
        <f t="shared" si="11"/>
        <v>0</v>
      </c>
    </row>
    <row r="599" spans="1:10" s="21" customFormat="1" ht="12.75" hidden="1">
      <c r="A599" s="16" t="s">
        <v>6</v>
      </c>
      <c r="B599" s="17" t="s">
        <v>159</v>
      </c>
      <c r="C599" s="17" t="s">
        <v>125</v>
      </c>
      <c r="D599" s="17" t="s">
        <v>69</v>
      </c>
      <c r="E599" s="17" t="s">
        <v>7</v>
      </c>
      <c r="F599" s="17"/>
      <c r="G599" s="236"/>
      <c r="H599" s="236"/>
      <c r="I599" s="215"/>
      <c r="J599" s="192">
        <f t="shared" si="11"/>
        <v>0</v>
      </c>
    </row>
    <row r="600" spans="1:10" s="21" customFormat="1" ht="12.75" hidden="1">
      <c r="A600" s="16" t="s">
        <v>8</v>
      </c>
      <c r="B600" s="17" t="s">
        <v>159</v>
      </c>
      <c r="C600" s="17" t="s">
        <v>125</v>
      </c>
      <c r="D600" s="17" t="s">
        <v>69</v>
      </c>
      <c r="E600" s="17" t="s">
        <v>9</v>
      </c>
      <c r="F600" s="17"/>
      <c r="G600" s="236"/>
      <c r="H600" s="236"/>
      <c r="I600" s="215"/>
      <c r="J600" s="192">
        <f t="shared" si="11"/>
        <v>0</v>
      </c>
    </row>
    <row r="601" spans="1:10" s="21" customFormat="1" ht="25.5" hidden="1">
      <c r="A601" s="11" t="s">
        <v>10</v>
      </c>
      <c r="B601" s="4"/>
      <c r="C601" s="4"/>
      <c r="D601" s="4"/>
      <c r="E601" s="4"/>
      <c r="F601" s="4" t="s">
        <v>183</v>
      </c>
      <c r="G601" s="236"/>
      <c r="H601" s="236"/>
      <c r="I601" s="215"/>
      <c r="J601" s="192">
        <f t="shared" si="11"/>
        <v>0</v>
      </c>
    </row>
    <row r="602" spans="1:10" s="21" customFormat="1" ht="15" customHeight="1" hidden="1">
      <c r="A602" s="12" t="s">
        <v>11</v>
      </c>
      <c r="B602" s="4"/>
      <c r="C602" s="4"/>
      <c r="D602" s="4"/>
      <c r="E602" s="4"/>
      <c r="F602" s="4" t="s">
        <v>200</v>
      </c>
      <c r="G602" s="236"/>
      <c r="H602" s="236"/>
      <c r="I602" s="215"/>
      <c r="J602" s="192">
        <f t="shared" si="11"/>
        <v>0</v>
      </c>
    </row>
    <row r="603" spans="1:10" s="30" customFormat="1" ht="12.75" hidden="1">
      <c r="A603" s="65" t="s">
        <v>130</v>
      </c>
      <c r="B603" s="29"/>
      <c r="C603" s="29"/>
      <c r="D603" s="29"/>
      <c r="E603" s="29"/>
      <c r="F603" s="29" t="s">
        <v>199</v>
      </c>
      <c r="G603" s="254"/>
      <c r="H603" s="254"/>
      <c r="I603" s="205"/>
      <c r="J603" s="192">
        <f t="shared" si="11"/>
        <v>0</v>
      </c>
    </row>
    <row r="604" spans="1:10" s="21" customFormat="1" ht="25.5" hidden="1">
      <c r="A604" s="6" t="s">
        <v>12</v>
      </c>
      <c r="B604" s="4"/>
      <c r="C604" s="4"/>
      <c r="D604" s="4"/>
      <c r="E604" s="4"/>
      <c r="F604" s="4" t="s">
        <v>184</v>
      </c>
      <c r="G604" s="236"/>
      <c r="H604" s="236"/>
      <c r="I604" s="215"/>
      <c r="J604" s="192">
        <f t="shared" si="11"/>
        <v>0</v>
      </c>
    </row>
    <row r="605" spans="1:10" s="21" customFormat="1" ht="12.75" hidden="1">
      <c r="A605" s="16" t="s">
        <v>13</v>
      </c>
      <c r="B605" s="17" t="s">
        <v>159</v>
      </c>
      <c r="C605" s="17" t="s">
        <v>125</v>
      </c>
      <c r="D605" s="17" t="s">
        <v>69</v>
      </c>
      <c r="E605" s="17" t="s">
        <v>14</v>
      </c>
      <c r="F605" s="17"/>
      <c r="G605" s="236"/>
      <c r="H605" s="236"/>
      <c r="I605" s="215"/>
      <c r="J605" s="192">
        <f t="shared" si="11"/>
        <v>0</v>
      </c>
    </row>
    <row r="606" spans="1:10" s="45" customFormat="1" ht="12.75" hidden="1">
      <c r="A606" s="43" t="s">
        <v>15</v>
      </c>
      <c r="B606" s="44" t="s">
        <v>159</v>
      </c>
      <c r="C606" s="14" t="s">
        <v>125</v>
      </c>
      <c r="D606" s="44" t="s">
        <v>69</v>
      </c>
      <c r="E606" s="44" t="s">
        <v>16</v>
      </c>
      <c r="F606" s="44"/>
      <c r="G606" s="239"/>
      <c r="H606" s="239"/>
      <c r="I606" s="198"/>
      <c r="J606" s="192">
        <f t="shared" si="11"/>
        <v>0</v>
      </c>
    </row>
    <row r="607" spans="1:10" s="21" customFormat="1" ht="12.75" hidden="1">
      <c r="A607" s="16" t="s">
        <v>17</v>
      </c>
      <c r="B607" s="17" t="s">
        <v>159</v>
      </c>
      <c r="C607" s="17" t="s">
        <v>125</v>
      </c>
      <c r="D607" s="17" t="s">
        <v>69</v>
      </c>
      <c r="E607" s="17" t="s">
        <v>18</v>
      </c>
      <c r="F607" s="17"/>
      <c r="G607" s="236"/>
      <c r="H607" s="236"/>
      <c r="I607" s="215"/>
      <c r="J607" s="192">
        <f t="shared" si="11"/>
        <v>0</v>
      </c>
    </row>
    <row r="608" spans="1:10" s="21" customFormat="1" ht="12.75" hidden="1">
      <c r="A608" s="16" t="s">
        <v>21</v>
      </c>
      <c r="B608" s="17" t="s">
        <v>159</v>
      </c>
      <c r="C608" s="17" t="s">
        <v>125</v>
      </c>
      <c r="D608" s="17" t="s">
        <v>69</v>
      </c>
      <c r="E608" s="17" t="s">
        <v>19</v>
      </c>
      <c r="F608" s="17"/>
      <c r="G608" s="236"/>
      <c r="H608" s="236"/>
      <c r="I608" s="215"/>
      <c r="J608" s="192">
        <f t="shared" si="11"/>
        <v>0</v>
      </c>
    </row>
    <row r="609" spans="1:10" s="21" customFormat="1" ht="25.5" hidden="1">
      <c r="A609" s="11" t="s">
        <v>20</v>
      </c>
      <c r="B609" s="4"/>
      <c r="C609" s="4"/>
      <c r="D609" s="4"/>
      <c r="E609" s="4"/>
      <c r="F609" s="4" t="s">
        <v>183</v>
      </c>
      <c r="G609" s="236"/>
      <c r="H609" s="236"/>
      <c r="I609" s="215"/>
      <c r="J609" s="192">
        <f t="shared" si="11"/>
        <v>0</v>
      </c>
    </row>
    <row r="610" spans="1:10" s="21" customFormat="1" ht="38.25" hidden="1">
      <c r="A610" s="8" t="s">
        <v>22</v>
      </c>
      <c r="B610" s="4"/>
      <c r="C610" s="4"/>
      <c r="D610" s="4"/>
      <c r="E610" s="4"/>
      <c r="F610" s="4" t="s">
        <v>185</v>
      </c>
      <c r="G610" s="236"/>
      <c r="H610" s="236"/>
      <c r="I610" s="215"/>
      <c r="J610" s="192">
        <f t="shared" si="11"/>
        <v>0</v>
      </c>
    </row>
    <row r="611" spans="1:10" s="21" customFormat="1" ht="12.75" hidden="1">
      <c r="A611" s="16" t="s">
        <v>23</v>
      </c>
      <c r="B611" s="17" t="s">
        <v>159</v>
      </c>
      <c r="C611" s="17" t="s">
        <v>125</v>
      </c>
      <c r="D611" s="17" t="s">
        <v>69</v>
      </c>
      <c r="E611" s="17" t="s">
        <v>24</v>
      </c>
      <c r="F611" s="17"/>
      <c r="G611" s="236"/>
      <c r="H611" s="236"/>
      <c r="I611" s="215"/>
      <c r="J611" s="192">
        <f t="shared" si="11"/>
        <v>0</v>
      </c>
    </row>
    <row r="612" spans="1:10" s="21" customFormat="1" ht="17.25" customHeight="1" hidden="1">
      <c r="A612" s="7" t="s">
        <v>25</v>
      </c>
      <c r="B612" s="4"/>
      <c r="C612" s="4"/>
      <c r="D612" s="4"/>
      <c r="E612" s="4"/>
      <c r="F612" s="4" t="s">
        <v>186</v>
      </c>
      <c r="G612" s="236"/>
      <c r="H612" s="236"/>
      <c r="I612" s="215"/>
      <c r="J612" s="192">
        <f t="shared" si="11"/>
        <v>0</v>
      </c>
    </row>
    <row r="613" spans="1:10" s="21" customFormat="1" ht="26.25" customHeight="1" hidden="1">
      <c r="A613" s="7" t="s">
        <v>26</v>
      </c>
      <c r="B613" s="4"/>
      <c r="C613" s="4"/>
      <c r="D613" s="4"/>
      <c r="E613" s="4"/>
      <c r="F613" s="4" t="s">
        <v>187</v>
      </c>
      <c r="G613" s="236"/>
      <c r="H613" s="236"/>
      <c r="I613" s="215"/>
      <c r="J613" s="192">
        <f t="shared" si="11"/>
        <v>0</v>
      </c>
    </row>
    <row r="614" spans="1:10" s="21" customFormat="1" ht="12.75" hidden="1">
      <c r="A614" s="7" t="s">
        <v>27</v>
      </c>
      <c r="B614" s="4"/>
      <c r="C614" s="4"/>
      <c r="D614" s="4"/>
      <c r="E614" s="4"/>
      <c r="F614" s="4" t="s">
        <v>188</v>
      </c>
      <c r="G614" s="236"/>
      <c r="H614" s="236"/>
      <c r="I614" s="215"/>
      <c r="J614" s="192">
        <f t="shared" si="11"/>
        <v>0</v>
      </c>
    </row>
    <row r="615" spans="1:10" s="21" customFormat="1" ht="16.5" customHeight="1" hidden="1">
      <c r="A615" s="16" t="s">
        <v>28</v>
      </c>
      <c r="B615" s="17" t="s">
        <v>159</v>
      </c>
      <c r="C615" s="17" t="s">
        <v>125</v>
      </c>
      <c r="D615" s="17" t="s">
        <v>69</v>
      </c>
      <c r="E615" s="17" t="s">
        <v>29</v>
      </c>
      <c r="F615" s="17"/>
      <c r="G615" s="236"/>
      <c r="H615" s="236"/>
      <c r="I615" s="215"/>
      <c r="J615" s="192">
        <f t="shared" si="11"/>
        <v>0</v>
      </c>
    </row>
    <row r="616" spans="1:10" s="21" customFormat="1" ht="12.75" hidden="1">
      <c r="A616" s="16" t="s">
        <v>30</v>
      </c>
      <c r="B616" s="17" t="s">
        <v>159</v>
      </c>
      <c r="C616" s="17" t="s">
        <v>125</v>
      </c>
      <c r="D616" s="17" t="s">
        <v>69</v>
      </c>
      <c r="E616" s="17" t="s">
        <v>31</v>
      </c>
      <c r="F616" s="17"/>
      <c r="G616" s="236"/>
      <c r="H616" s="236"/>
      <c r="I616" s="215"/>
      <c r="J616" s="192">
        <f t="shared" si="11"/>
        <v>0</v>
      </c>
    </row>
    <row r="617" spans="1:10" s="21" customFormat="1" ht="12.75" hidden="1">
      <c r="A617" s="7" t="s">
        <v>32</v>
      </c>
      <c r="B617" s="17"/>
      <c r="C617" s="17"/>
      <c r="D617" s="17"/>
      <c r="E617" s="17"/>
      <c r="F617" s="17" t="s">
        <v>189</v>
      </c>
      <c r="G617" s="236"/>
      <c r="H617" s="236"/>
      <c r="I617" s="215"/>
      <c r="J617" s="192">
        <f t="shared" si="11"/>
        <v>0</v>
      </c>
    </row>
    <row r="618" spans="1:10" s="21" customFormat="1" ht="12.75" hidden="1">
      <c r="A618" s="7" t="s">
        <v>33</v>
      </c>
      <c r="B618" s="17"/>
      <c r="C618" s="17"/>
      <c r="D618" s="17"/>
      <c r="E618" s="17"/>
      <c r="F618" s="17" t="s">
        <v>191</v>
      </c>
      <c r="G618" s="236"/>
      <c r="H618" s="236"/>
      <c r="I618" s="215"/>
      <c r="J618" s="192">
        <f t="shared" si="11"/>
        <v>0</v>
      </c>
    </row>
    <row r="619" spans="1:10" s="21" customFormat="1" ht="25.5" hidden="1">
      <c r="A619" s="7" t="s">
        <v>34</v>
      </c>
      <c r="B619" s="17"/>
      <c r="C619" s="17"/>
      <c r="D619" s="17"/>
      <c r="E619" s="17"/>
      <c r="F619" s="17" t="s">
        <v>221</v>
      </c>
      <c r="G619" s="236"/>
      <c r="H619" s="236"/>
      <c r="I619" s="215"/>
      <c r="J619" s="192">
        <f t="shared" si="11"/>
        <v>0</v>
      </c>
    </row>
    <row r="620" spans="1:10" s="21" customFormat="1" ht="25.5" hidden="1">
      <c r="A620" s="7" t="s">
        <v>35</v>
      </c>
      <c r="B620" s="17"/>
      <c r="C620" s="17"/>
      <c r="D620" s="17"/>
      <c r="E620" s="17"/>
      <c r="F620" s="17" t="s">
        <v>190</v>
      </c>
      <c r="G620" s="236"/>
      <c r="H620" s="236"/>
      <c r="I620" s="215"/>
      <c r="J620" s="192">
        <f t="shared" si="11"/>
        <v>0</v>
      </c>
    </row>
    <row r="621" spans="1:10" s="21" customFormat="1" ht="51" hidden="1">
      <c r="A621" s="7" t="s">
        <v>36</v>
      </c>
      <c r="B621" s="17"/>
      <c r="C621" s="17"/>
      <c r="D621" s="17"/>
      <c r="E621" s="17"/>
      <c r="F621" s="17" t="s">
        <v>190</v>
      </c>
      <c r="G621" s="236"/>
      <c r="H621" s="236"/>
      <c r="I621" s="215"/>
      <c r="J621" s="192">
        <f t="shared" si="11"/>
        <v>0</v>
      </c>
    </row>
    <row r="622" spans="1:10" s="21" customFormat="1" ht="12.75" hidden="1">
      <c r="A622" s="16" t="s">
        <v>37</v>
      </c>
      <c r="B622" s="17" t="s">
        <v>159</v>
      </c>
      <c r="C622" s="17" t="s">
        <v>125</v>
      </c>
      <c r="D622" s="17" t="s">
        <v>69</v>
      </c>
      <c r="E622" s="17" t="s">
        <v>38</v>
      </c>
      <c r="F622" s="17"/>
      <c r="G622" s="236"/>
      <c r="H622" s="236"/>
      <c r="I622" s="215"/>
      <c r="J622" s="192">
        <f t="shared" si="11"/>
        <v>0</v>
      </c>
    </row>
    <row r="623" spans="1:10" s="21" customFormat="1" ht="38.25" hidden="1">
      <c r="A623" s="11" t="s">
        <v>39</v>
      </c>
      <c r="B623" s="20"/>
      <c r="C623" s="20"/>
      <c r="D623" s="20"/>
      <c r="E623" s="20"/>
      <c r="F623" s="20" t="s">
        <v>183</v>
      </c>
      <c r="G623" s="236"/>
      <c r="H623" s="236"/>
      <c r="I623" s="215"/>
      <c r="J623" s="192">
        <f t="shared" si="11"/>
        <v>0</v>
      </c>
    </row>
    <row r="624" spans="1:10" s="21" customFormat="1" ht="33.75" customHeight="1" hidden="1">
      <c r="A624" s="19" t="s">
        <v>40</v>
      </c>
      <c r="B624" s="20"/>
      <c r="C624" s="20"/>
      <c r="D624" s="20"/>
      <c r="E624" s="20"/>
      <c r="F624" s="20" t="s">
        <v>222</v>
      </c>
      <c r="G624" s="236"/>
      <c r="H624" s="236"/>
      <c r="I624" s="215"/>
      <c r="J624" s="192">
        <f t="shared" si="11"/>
        <v>0</v>
      </c>
    </row>
    <row r="625" spans="1:10" s="21" customFormat="1" ht="25.5" hidden="1">
      <c r="A625" s="12" t="s">
        <v>41</v>
      </c>
      <c r="B625" s="20"/>
      <c r="C625" s="20"/>
      <c r="D625" s="20"/>
      <c r="E625" s="20"/>
      <c r="F625" s="20" t="s">
        <v>192</v>
      </c>
      <c r="G625" s="236"/>
      <c r="H625" s="236"/>
      <c r="I625" s="215"/>
      <c r="J625" s="192">
        <f t="shared" si="11"/>
        <v>0</v>
      </c>
    </row>
    <row r="626" spans="1:10" s="45" customFormat="1" ht="12.75" hidden="1">
      <c r="A626" s="43" t="s">
        <v>42</v>
      </c>
      <c r="B626" s="44" t="s">
        <v>159</v>
      </c>
      <c r="C626" s="14" t="s">
        <v>125</v>
      </c>
      <c r="D626" s="44" t="s">
        <v>69</v>
      </c>
      <c r="E626" s="44" t="s">
        <v>43</v>
      </c>
      <c r="F626" s="44"/>
      <c r="G626" s="239"/>
      <c r="H626" s="239"/>
      <c r="I626" s="198"/>
      <c r="J626" s="192">
        <f t="shared" si="11"/>
        <v>0</v>
      </c>
    </row>
    <row r="627" spans="1:10" s="21" customFormat="1" ht="12.75" hidden="1">
      <c r="A627" s="16" t="s">
        <v>44</v>
      </c>
      <c r="B627" s="17" t="s">
        <v>159</v>
      </c>
      <c r="C627" s="17" t="s">
        <v>125</v>
      </c>
      <c r="D627" s="17" t="s">
        <v>69</v>
      </c>
      <c r="E627" s="17" t="s">
        <v>45</v>
      </c>
      <c r="F627" s="17"/>
      <c r="G627" s="236"/>
      <c r="H627" s="236"/>
      <c r="I627" s="215"/>
      <c r="J627" s="192">
        <f t="shared" si="11"/>
        <v>0</v>
      </c>
    </row>
    <row r="628" spans="1:10" s="21" customFormat="1" ht="12.75" hidden="1">
      <c r="A628" s="6" t="s">
        <v>46</v>
      </c>
      <c r="B628" s="20"/>
      <c r="C628" s="20"/>
      <c r="D628" s="20"/>
      <c r="E628" s="20"/>
      <c r="F628" s="20"/>
      <c r="G628" s="236"/>
      <c r="H628" s="236"/>
      <c r="I628" s="215"/>
      <c r="J628" s="192">
        <f t="shared" si="11"/>
        <v>0</v>
      </c>
    </row>
    <row r="629" spans="1:10" s="45" customFormat="1" ht="12.75" hidden="1">
      <c r="A629" s="43" t="s">
        <v>47</v>
      </c>
      <c r="B629" s="44" t="s">
        <v>159</v>
      </c>
      <c r="C629" s="14" t="s">
        <v>125</v>
      </c>
      <c r="D629" s="44" t="s">
        <v>69</v>
      </c>
      <c r="E629" s="44" t="s">
        <v>48</v>
      </c>
      <c r="F629" s="44"/>
      <c r="G629" s="239"/>
      <c r="H629" s="239"/>
      <c r="I629" s="198"/>
      <c r="J629" s="192">
        <f t="shared" si="11"/>
        <v>0</v>
      </c>
    </row>
    <row r="630" spans="1:10" s="21" customFormat="1" ht="25.5" hidden="1">
      <c r="A630" s="12" t="s">
        <v>41</v>
      </c>
      <c r="B630" s="20"/>
      <c r="C630" s="20"/>
      <c r="D630" s="20"/>
      <c r="E630" s="20"/>
      <c r="F630" s="20"/>
      <c r="G630" s="236"/>
      <c r="H630" s="236"/>
      <c r="I630" s="215"/>
      <c r="J630" s="192">
        <f t="shared" si="11"/>
        <v>0</v>
      </c>
    </row>
    <row r="631" spans="1:10" s="45" customFormat="1" ht="12.75" hidden="1">
      <c r="A631" s="43" t="s">
        <v>49</v>
      </c>
      <c r="B631" s="44" t="s">
        <v>159</v>
      </c>
      <c r="C631" s="14" t="s">
        <v>125</v>
      </c>
      <c r="D631" s="44" t="s">
        <v>69</v>
      </c>
      <c r="E631" s="44" t="s">
        <v>50</v>
      </c>
      <c r="F631" s="44"/>
      <c r="G631" s="239"/>
      <c r="H631" s="239"/>
      <c r="I631" s="198"/>
      <c r="J631" s="192">
        <f t="shared" si="11"/>
        <v>0</v>
      </c>
    </row>
    <row r="632" spans="1:10" s="21" customFormat="1" ht="12.75" hidden="1">
      <c r="A632" s="16" t="s">
        <v>51</v>
      </c>
      <c r="B632" s="17" t="s">
        <v>159</v>
      </c>
      <c r="C632" s="17" t="s">
        <v>125</v>
      </c>
      <c r="D632" s="17" t="s">
        <v>69</v>
      </c>
      <c r="E632" s="17" t="s">
        <v>52</v>
      </c>
      <c r="F632" s="17"/>
      <c r="G632" s="236"/>
      <c r="H632" s="236"/>
      <c r="I632" s="215"/>
      <c r="J632" s="192">
        <f t="shared" si="11"/>
        <v>0</v>
      </c>
    </row>
    <row r="633" spans="1:10" s="21" customFormat="1" ht="12.75" hidden="1">
      <c r="A633" s="7" t="s">
        <v>53</v>
      </c>
      <c r="B633" s="20"/>
      <c r="C633" s="20"/>
      <c r="D633" s="20"/>
      <c r="E633" s="20"/>
      <c r="F633" s="20" t="s">
        <v>223</v>
      </c>
      <c r="G633" s="236"/>
      <c r="H633" s="236"/>
      <c r="I633" s="215"/>
      <c r="J633" s="192">
        <f t="shared" si="11"/>
        <v>0</v>
      </c>
    </row>
    <row r="634" spans="1:10" s="21" customFormat="1" ht="52.5" customHeight="1" hidden="1">
      <c r="A634" s="7" t="s">
        <v>54</v>
      </c>
      <c r="B634" s="20"/>
      <c r="C634" s="20"/>
      <c r="D634" s="20"/>
      <c r="E634" s="20"/>
      <c r="F634" s="20" t="s">
        <v>194</v>
      </c>
      <c r="G634" s="236"/>
      <c r="H634" s="236"/>
      <c r="I634" s="215"/>
      <c r="J634" s="192">
        <f t="shared" si="11"/>
        <v>0</v>
      </c>
    </row>
    <row r="635" spans="1:10" s="21" customFormat="1" ht="51" customHeight="1" hidden="1">
      <c r="A635" s="7" t="s">
        <v>55</v>
      </c>
      <c r="B635" s="20"/>
      <c r="C635" s="20"/>
      <c r="D635" s="20"/>
      <c r="E635" s="20"/>
      <c r="F635" s="20" t="s">
        <v>193</v>
      </c>
      <c r="G635" s="236"/>
      <c r="H635" s="236"/>
      <c r="I635" s="215"/>
      <c r="J635" s="192">
        <f t="shared" si="11"/>
        <v>0</v>
      </c>
    </row>
    <row r="636" spans="1:10" s="21" customFormat="1" ht="15.75" customHeight="1" hidden="1">
      <c r="A636" s="16" t="s">
        <v>56</v>
      </c>
      <c r="B636" s="17" t="s">
        <v>159</v>
      </c>
      <c r="C636" s="17" t="s">
        <v>125</v>
      </c>
      <c r="D636" s="17" t="s">
        <v>69</v>
      </c>
      <c r="E636" s="17" t="s">
        <v>57</v>
      </c>
      <c r="F636" s="17"/>
      <c r="G636" s="236"/>
      <c r="H636" s="236"/>
      <c r="I636" s="215"/>
      <c r="J636" s="192">
        <f t="shared" si="11"/>
        <v>0</v>
      </c>
    </row>
    <row r="637" spans="1:10" s="21" customFormat="1" ht="25.5" hidden="1">
      <c r="A637" s="7" t="s">
        <v>58</v>
      </c>
      <c r="B637" s="20"/>
      <c r="C637" s="20"/>
      <c r="D637" s="20"/>
      <c r="E637" s="20"/>
      <c r="F637" s="20" t="s">
        <v>195</v>
      </c>
      <c r="G637" s="236"/>
      <c r="H637" s="236"/>
      <c r="I637" s="215"/>
      <c r="J637" s="192">
        <f t="shared" si="11"/>
        <v>0</v>
      </c>
    </row>
    <row r="638" spans="1:10" s="21" customFormat="1" ht="12.75" hidden="1">
      <c r="A638" s="7" t="s">
        <v>59</v>
      </c>
      <c r="B638" s="20"/>
      <c r="C638" s="20"/>
      <c r="D638" s="20"/>
      <c r="E638" s="20"/>
      <c r="F638" s="20" t="s">
        <v>196</v>
      </c>
      <c r="G638" s="236"/>
      <c r="H638" s="236"/>
      <c r="I638" s="215"/>
      <c r="J638" s="192">
        <f t="shared" si="11"/>
        <v>0</v>
      </c>
    </row>
    <row r="639" spans="1:10" s="21" customFormat="1" ht="9.75" customHeight="1" hidden="1">
      <c r="A639" s="7" t="s">
        <v>60</v>
      </c>
      <c r="B639" s="20"/>
      <c r="C639" s="20"/>
      <c r="D639" s="20"/>
      <c r="E639" s="20"/>
      <c r="F639" s="20" t="s">
        <v>197</v>
      </c>
      <c r="G639" s="236"/>
      <c r="H639" s="236"/>
      <c r="I639" s="215"/>
      <c r="J639" s="192">
        <f t="shared" si="11"/>
        <v>0</v>
      </c>
    </row>
    <row r="640" spans="1:10" s="21" customFormat="1" ht="39" customHeight="1" hidden="1">
      <c r="A640" s="7" t="s">
        <v>61</v>
      </c>
      <c r="B640" s="20"/>
      <c r="C640" s="20"/>
      <c r="D640" s="20"/>
      <c r="E640" s="20"/>
      <c r="F640" s="20" t="s">
        <v>198</v>
      </c>
      <c r="G640" s="236"/>
      <c r="H640" s="236"/>
      <c r="I640" s="215"/>
      <c r="J640" s="192">
        <f t="shared" si="11"/>
        <v>0</v>
      </c>
    </row>
    <row r="641" spans="1:10" s="21" customFormat="1" ht="12.75" hidden="1">
      <c r="A641" s="7"/>
      <c r="B641" s="20"/>
      <c r="C641" s="20"/>
      <c r="D641" s="20"/>
      <c r="E641" s="20"/>
      <c r="F641" s="20"/>
      <c r="G641" s="236"/>
      <c r="H641" s="236"/>
      <c r="I641" s="215"/>
      <c r="J641" s="192">
        <f t="shared" si="11"/>
        <v>0</v>
      </c>
    </row>
    <row r="642" spans="1:10" s="21" customFormat="1" ht="12.75" hidden="1">
      <c r="A642" s="26" t="s">
        <v>75</v>
      </c>
      <c r="B642" s="24" t="s">
        <v>156</v>
      </c>
      <c r="C642" s="24" t="s">
        <v>88</v>
      </c>
      <c r="D642" s="24" t="s">
        <v>2</v>
      </c>
      <c r="E642" s="24"/>
      <c r="F642" s="24"/>
      <c r="G642" s="236"/>
      <c r="H642" s="236"/>
      <c r="I642" s="215"/>
      <c r="J642" s="192">
        <f t="shared" si="11"/>
        <v>0</v>
      </c>
    </row>
    <row r="643" spans="1:10" s="45" customFormat="1" ht="12.75" hidden="1">
      <c r="A643" s="43" t="s">
        <v>4</v>
      </c>
      <c r="B643" s="44" t="s">
        <v>156</v>
      </c>
      <c r="C643" s="44" t="s">
        <v>88</v>
      </c>
      <c r="D643" s="44" t="s">
        <v>2</v>
      </c>
      <c r="E643" s="44" t="s">
        <v>5</v>
      </c>
      <c r="F643" s="44"/>
      <c r="G643" s="239"/>
      <c r="H643" s="239"/>
      <c r="I643" s="198"/>
      <c r="J643" s="192">
        <f t="shared" si="11"/>
        <v>0</v>
      </c>
    </row>
    <row r="644" spans="1:10" s="28" customFormat="1" ht="12.75" hidden="1">
      <c r="A644" s="87" t="s">
        <v>6</v>
      </c>
      <c r="B644" s="27" t="s">
        <v>156</v>
      </c>
      <c r="C644" s="27" t="s">
        <v>88</v>
      </c>
      <c r="D644" s="27" t="s">
        <v>2</v>
      </c>
      <c r="E644" s="27" t="s">
        <v>7</v>
      </c>
      <c r="F644" s="27"/>
      <c r="G644" s="249"/>
      <c r="H644" s="249"/>
      <c r="I644" s="202"/>
      <c r="J644" s="192">
        <f t="shared" si="11"/>
        <v>0</v>
      </c>
    </row>
    <row r="645" spans="1:10" s="28" customFormat="1" ht="12.75" hidden="1">
      <c r="A645" s="87" t="s">
        <v>8</v>
      </c>
      <c r="B645" s="27" t="s">
        <v>156</v>
      </c>
      <c r="C645" s="27" t="s">
        <v>88</v>
      </c>
      <c r="D645" s="27" t="s">
        <v>2</v>
      </c>
      <c r="E645" s="27" t="s">
        <v>9</v>
      </c>
      <c r="F645" s="27"/>
      <c r="G645" s="249"/>
      <c r="H645" s="249"/>
      <c r="I645" s="202"/>
      <c r="J645" s="192">
        <f t="shared" si="11"/>
        <v>0</v>
      </c>
    </row>
    <row r="646" spans="1:10" s="21" customFormat="1" ht="25.5" hidden="1">
      <c r="A646" s="11" t="s">
        <v>10</v>
      </c>
      <c r="B646" s="29"/>
      <c r="C646" s="29"/>
      <c r="D646" s="29"/>
      <c r="E646" s="4"/>
      <c r="F646" s="4" t="s">
        <v>183</v>
      </c>
      <c r="G646" s="236"/>
      <c r="H646" s="236"/>
      <c r="I646" s="215"/>
      <c r="J646" s="192">
        <f t="shared" si="11"/>
        <v>0</v>
      </c>
    </row>
    <row r="647" spans="1:10" s="21" customFormat="1" ht="12.75" customHeight="1" hidden="1">
      <c r="A647" s="12" t="s">
        <v>11</v>
      </c>
      <c r="B647" s="29"/>
      <c r="C647" s="29"/>
      <c r="D647" s="29"/>
      <c r="E647" s="4"/>
      <c r="F647" s="4" t="s">
        <v>200</v>
      </c>
      <c r="G647" s="236"/>
      <c r="H647" s="236"/>
      <c r="I647" s="215"/>
      <c r="J647" s="192">
        <f t="shared" si="11"/>
        <v>0</v>
      </c>
    </row>
    <row r="648" spans="1:10" s="30" customFormat="1" ht="12.75" hidden="1">
      <c r="A648" s="65" t="s">
        <v>130</v>
      </c>
      <c r="B648" s="29"/>
      <c r="C648" s="29"/>
      <c r="D648" s="29"/>
      <c r="E648" s="29"/>
      <c r="F648" s="29" t="s">
        <v>199</v>
      </c>
      <c r="G648" s="254"/>
      <c r="H648" s="254"/>
      <c r="I648" s="205"/>
      <c r="J648" s="192">
        <f t="shared" si="11"/>
        <v>0</v>
      </c>
    </row>
    <row r="649" spans="1:10" s="21" customFormat="1" ht="25.5" hidden="1">
      <c r="A649" s="6" t="s">
        <v>12</v>
      </c>
      <c r="B649" s="29"/>
      <c r="C649" s="29"/>
      <c r="D649" s="29"/>
      <c r="E649" s="4"/>
      <c r="F649" s="4" t="s">
        <v>184</v>
      </c>
      <c r="G649" s="236"/>
      <c r="H649" s="236"/>
      <c r="I649" s="215"/>
      <c r="J649" s="192">
        <f t="shared" si="11"/>
        <v>0</v>
      </c>
    </row>
    <row r="650" spans="1:10" s="28" customFormat="1" ht="12.75" hidden="1">
      <c r="A650" s="87" t="s">
        <v>13</v>
      </c>
      <c r="B650" s="27" t="s">
        <v>156</v>
      </c>
      <c r="C650" s="27" t="s">
        <v>88</v>
      </c>
      <c r="D650" s="27" t="s">
        <v>2</v>
      </c>
      <c r="E650" s="27" t="s">
        <v>14</v>
      </c>
      <c r="F650" s="17"/>
      <c r="G650" s="249"/>
      <c r="H650" s="249"/>
      <c r="I650" s="202"/>
      <c r="J650" s="192">
        <f t="shared" si="11"/>
        <v>0</v>
      </c>
    </row>
    <row r="651" spans="1:10" s="45" customFormat="1" ht="12.75" hidden="1">
      <c r="A651" s="43" t="s">
        <v>15</v>
      </c>
      <c r="B651" s="50" t="s">
        <v>156</v>
      </c>
      <c r="C651" s="50" t="s">
        <v>88</v>
      </c>
      <c r="D651" s="50" t="s">
        <v>2</v>
      </c>
      <c r="E651" s="44" t="s">
        <v>16</v>
      </c>
      <c r="F651" s="44"/>
      <c r="G651" s="239"/>
      <c r="H651" s="239"/>
      <c r="I651" s="198"/>
      <c r="J651" s="192">
        <f aca="true" t="shared" si="12" ref="J651:J714">H651-I651</f>
        <v>0</v>
      </c>
    </row>
    <row r="652" spans="1:10" s="28" customFormat="1" ht="12.75" hidden="1">
      <c r="A652" s="87" t="s">
        <v>17</v>
      </c>
      <c r="B652" s="27" t="s">
        <v>156</v>
      </c>
      <c r="C652" s="27" t="s">
        <v>88</v>
      </c>
      <c r="D652" s="27" t="s">
        <v>2</v>
      </c>
      <c r="E652" s="27" t="s">
        <v>18</v>
      </c>
      <c r="F652" s="17"/>
      <c r="G652" s="249"/>
      <c r="H652" s="249"/>
      <c r="I652" s="202"/>
      <c r="J652" s="192">
        <f t="shared" si="12"/>
        <v>0</v>
      </c>
    </row>
    <row r="653" spans="1:10" s="28" customFormat="1" ht="12.75" hidden="1">
      <c r="A653" s="87" t="s">
        <v>21</v>
      </c>
      <c r="B653" s="27" t="s">
        <v>156</v>
      </c>
      <c r="C653" s="27" t="s">
        <v>88</v>
      </c>
      <c r="D653" s="27" t="s">
        <v>2</v>
      </c>
      <c r="E653" s="27" t="s">
        <v>19</v>
      </c>
      <c r="F653" s="17"/>
      <c r="G653" s="249"/>
      <c r="H653" s="249"/>
      <c r="I653" s="202"/>
      <c r="J653" s="192">
        <f t="shared" si="12"/>
        <v>0</v>
      </c>
    </row>
    <row r="654" spans="1:10" s="21" customFormat="1" ht="24" customHeight="1" hidden="1">
      <c r="A654" s="11" t="s">
        <v>20</v>
      </c>
      <c r="B654" s="29"/>
      <c r="C654" s="29"/>
      <c r="D654" s="29"/>
      <c r="E654" s="4"/>
      <c r="F654" s="4" t="s">
        <v>183</v>
      </c>
      <c r="G654" s="236"/>
      <c r="H654" s="236"/>
      <c r="I654" s="215"/>
      <c r="J654" s="192">
        <f t="shared" si="12"/>
        <v>0</v>
      </c>
    </row>
    <row r="655" spans="1:10" s="21" customFormat="1" ht="38.25" hidden="1">
      <c r="A655" s="8" t="s">
        <v>22</v>
      </c>
      <c r="B655" s="29"/>
      <c r="C655" s="29"/>
      <c r="D655" s="29"/>
      <c r="E655" s="4"/>
      <c r="F655" s="4" t="s">
        <v>185</v>
      </c>
      <c r="G655" s="236"/>
      <c r="H655" s="236"/>
      <c r="I655" s="215"/>
      <c r="J655" s="192">
        <f t="shared" si="12"/>
        <v>0</v>
      </c>
    </row>
    <row r="656" spans="1:10" s="21" customFormat="1" ht="12.75" hidden="1">
      <c r="A656" s="16" t="s">
        <v>23</v>
      </c>
      <c r="B656" s="27" t="s">
        <v>156</v>
      </c>
      <c r="C656" s="27" t="s">
        <v>88</v>
      </c>
      <c r="D656" s="27" t="s">
        <v>2</v>
      </c>
      <c r="E656" s="17" t="s">
        <v>24</v>
      </c>
      <c r="F656" s="17"/>
      <c r="G656" s="236"/>
      <c r="H656" s="236"/>
      <c r="I656" s="215"/>
      <c r="J656" s="192">
        <f t="shared" si="12"/>
        <v>0</v>
      </c>
    </row>
    <row r="657" spans="1:10" s="21" customFormat="1" ht="25.5" hidden="1">
      <c r="A657" s="7" t="s">
        <v>25</v>
      </c>
      <c r="B657" s="29"/>
      <c r="C657" s="29"/>
      <c r="D657" s="29"/>
      <c r="E657" s="4"/>
      <c r="F657" s="4" t="s">
        <v>186</v>
      </c>
      <c r="G657" s="236"/>
      <c r="H657" s="236"/>
      <c r="I657" s="215"/>
      <c r="J657" s="192">
        <f t="shared" si="12"/>
        <v>0</v>
      </c>
    </row>
    <row r="658" spans="1:10" s="21" customFormat="1" ht="25.5" hidden="1">
      <c r="A658" s="7" t="s">
        <v>26</v>
      </c>
      <c r="B658" s="29"/>
      <c r="C658" s="29"/>
      <c r="D658" s="29"/>
      <c r="E658" s="4"/>
      <c r="F658" s="4" t="s">
        <v>187</v>
      </c>
      <c r="G658" s="236"/>
      <c r="H658" s="236"/>
      <c r="I658" s="215"/>
      <c r="J658" s="192">
        <f t="shared" si="12"/>
        <v>0</v>
      </c>
    </row>
    <row r="659" spans="1:10" s="21" customFormat="1" ht="12.75" hidden="1">
      <c r="A659" s="7" t="s">
        <v>27</v>
      </c>
      <c r="B659" s="29"/>
      <c r="C659" s="29"/>
      <c r="D659" s="29"/>
      <c r="E659" s="4"/>
      <c r="F659" s="4" t="s">
        <v>188</v>
      </c>
      <c r="G659" s="236"/>
      <c r="H659" s="236"/>
      <c r="I659" s="215"/>
      <c r="J659" s="192">
        <f t="shared" si="12"/>
        <v>0</v>
      </c>
    </row>
    <row r="660" spans="1:10" s="28" customFormat="1" ht="12.75" hidden="1">
      <c r="A660" s="87" t="s">
        <v>28</v>
      </c>
      <c r="B660" s="27" t="s">
        <v>156</v>
      </c>
      <c r="C660" s="27" t="s">
        <v>88</v>
      </c>
      <c r="D660" s="27" t="s">
        <v>2</v>
      </c>
      <c r="E660" s="27" t="s">
        <v>29</v>
      </c>
      <c r="F660" s="17"/>
      <c r="G660" s="249"/>
      <c r="H660" s="249"/>
      <c r="I660" s="202"/>
      <c r="J660" s="192">
        <f t="shared" si="12"/>
        <v>0</v>
      </c>
    </row>
    <row r="661" spans="1:10" s="28" customFormat="1" ht="12.75" hidden="1">
      <c r="A661" s="87" t="s">
        <v>30</v>
      </c>
      <c r="B661" s="27" t="s">
        <v>156</v>
      </c>
      <c r="C661" s="27" t="s">
        <v>88</v>
      </c>
      <c r="D661" s="27" t="s">
        <v>2</v>
      </c>
      <c r="E661" s="27" t="s">
        <v>31</v>
      </c>
      <c r="F661" s="17"/>
      <c r="G661" s="249"/>
      <c r="H661" s="249"/>
      <c r="I661" s="202"/>
      <c r="J661" s="192">
        <f t="shared" si="12"/>
        <v>0</v>
      </c>
    </row>
    <row r="662" spans="1:10" s="21" customFormat="1" ht="12.75" hidden="1">
      <c r="A662" s="7" t="s">
        <v>32</v>
      </c>
      <c r="B662" s="29"/>
      <c r="C662" s="29"/>
      <c r="D662" s="29"/>
      <c r="E662" s="17"/>
      <c r="F662" s="17" t="s">
        <v>189</v>
      </c>
      <c r="G662" s="236"/>
      <c r="H662" s="236"/>
      <c r="I662" s="215"/>
      <c r="J662" s="192">
        <f t="shared" si="12"/>
        <v>0</v>
      </c>
    </row>
    <row r="663" spans="1:10" s="21" customFormat="1" ht="12" customHeight="1" hidden="1">
      <c r="A663" s="7" t="s">
        <v>33</v>
      </c>
      <c r="B663" s="29"/>
      <c r="C663" s="29"/>
      <c r="D663" s="29"/>
      <c r="E663" s="17"/>
      <c r="F663" s="17" t="s">
        <v>191</v>
      </c>
      <c r="G663" s="236"/>
      <c r="H663" s="236"/>
      <c r="I663" s="215"/>
      <c r="J663" s="192">
        <f t="shared" si="12"/>
        <v>0</v>
      </c>
    </row>
    <row r="664" spans="1:10" s="21" customFormat="1" ht="25.5" hidden="1">
      <c r="A664" s="7" t="s">
        <v>34</v>
      </c>
      <c r="B664" s="29"/>
      <c r="C664" s="29"/>
      <c r="D664" s="29"/>
      <c r="E664" s="17"/>
      <c r="F664" s="17" t="s">
        <v>221</v>
      </c>
      <c r="G664" s="236"/>
      <c r="H664" s="236"/>
      <c r="I664" s="215"/>
      <c r="J664" s="192">
        <f t="shared" si="12"/>
        <v>0</v>
      </c>
    </row>
    <row r="665" spans="1:10" s="21" customFormat="1" ht="25.5" hidden="1">
      <c r="A665" s="7" t="s">
        <v>35</v>
      </c>
      <c r="B665" s="29"/>
      <c r="C665" s="29"/>
      <c r="D665" s="29"/>
      <c r="E665" s="17"/>
      <c r="F665" s="17" t="s">
        <v>190</v>
      </c>
      <c r="G665" s="236"/>
      <c r="H665" s="236"/>
      <c r="I665" s="215"/>
      <c r="J665" s="192">
        <f t="shared" si="12"/>
        <v>0</v>
      </c>
    </row>
    <row r="666" spans="1:10" s="21" customFormat="1" ht="51" hidden="1">
      <c r="A666" s="7" t="s">
        <v>36</v>
      </c>
      <c r="B666" s="29"/>
      <c r="C666" s="29"/>
      <c r="D666" s="29"/>
      <c r="E666" s="17"/>
      <c r="F666" s="17" t="s">
        <v>190</v>
      </c>
      <c r="G666" s="236"/>
      <c r="H666" s="236"/>
      <c r="I666" s="215"/>
      <c r="J666" s="192">
        <f t="shared" si="12"/>
        <v>0</v>
      </c>
    </row>
    <row r="667" spans="1:10" s="28" customFormat="1" ht="12.75" hidden="1">
      <c r="A667" s="87" t="s">
        <v>37</v>
      </c>
      <c r="B667" s="27" t="s">
        <v>156</v>
      </c>
      <c r="C667" s="27" t="s">
        <v>88</v>
      </c>
      <c r="D667" s="27" t="s">
        <v>2</v>
      </c>
      <c r="E667" s="27" t="s">
        <v>38</v>
      </c>
      <c r="F667" s="17"/>
      <c r="G667" s="249"/>
      <c r="H667" s="249"/>
      <c r="I667" s="202"/>
      <c r="J667" s="192">
        <f t="shared" si="12"/>
        <v>0</v>
      </c>
    </row>
    <row r="668" spans="1:10" s="21" customFormat="1" ht="38.25" hidden="1">
      <c r="A668" s="11" t="s">
        <v>39</v>
      </c>
      <c r="B668" s="29"/>
      <c r="C668" s="29"/>
      <c r="D668" s="29"/>
      <c r="E668" s="20"/>
      <c r="F668" s="20" t="s">
        <v>183</v>
      </c>
      <c r="G668" s="236"/>
      <c r="H668" s="236"/>
      <c r="I668" s="215"/>
      <c r="J668" s="192">
        <f t="shared" si="12"/>
        <v>0</v>
      </c>
    </row>
    <row r="669" spans="1:10" s="21" customFormat="1" ht="38.25" hidden="1">
      <c r="A669" s="19" t="s">
        <v>40</v>
      </c>
      <c r="B669" s="29"/>
      <c r="C669" s="29"/>
      <c r="D669" s="29"/>
      <c r="E669" s="20"/>
      <c r="F669" s="20" t="s">
        <v>222</v>
      </c>
      <c r="G669" s="236"/>
      <c r="H669" s="236"/>
      <c r="I669" s="215"/>
      <c r="J669" s="192">
        <f t="shared" si="12"/>
        <v>0</v>
      </c>
    </row>
    <row r="670" spans="1:10" s="21" customFormat="1" ht="25.5" hidden="1">
      <c r="A670" s="12" t="s">
        <v>41</v>
      </c>
      <c r="B670" s="29"/>
      <c r="C670" s="29"/>
      <c r="D670" s="29"/>
      <c r="E670" s="20"/>
      <c r="F670" s="20" t="s">
        <v>192</v>
      </c>
      <c r="G670" s="236"/>
      <c r="H670" s="236"/>
      <c r="I670" s="215"/>
      <c r="J670" s="192">
        <f t="shared" si="12"/>
        <v>0</v>
      </c>
    </row>
    <row r="671" spans="1:10" s="45" customFormat="1" ht="12.75" hidden="1">
      <c r="A671" s="43" t="s">
        <v>42</v>
      </c>
      <c r="B671" s="44" t="s">
        <v>156</v>
      </c>
      <c r="C671" s="44" t="s">
        <v>88</v>
      </c>
      <c r="D671" s="44" t="s">
        <v>2</v>
      </c>
      <c r="E671" s="44" t="s">
        <v>43</v>
      </c>
      <c r="F671" s="44"/>
      <c r="G671" s="239"/>
      <c r="H671" s="239"/>
      <c r="I671" s="198"/>
      <c r="J671" s="192">
        <f t="shared" si="12"/>
        <v>0</v>
      </c>
    </row>
    <row r="672" spans="1:10" s="28" customFormat="1" ht="12.75" hidden="1">
      <c r="A672" s="87" t="s">
        <v>44</v>
      </c>
      <c r="B672" s="27" t="s">
        <v>156</v>
      </c>
      <c r="C672" s="27" t="s">
        <v>88</v>
      </c>
      <c r="D672" s="27" t="s">
        <v>2</v>
      </c>
      <c r="E672" s="27" t="s">
        <v>45</v>
      </c>
      <c r="F672" s="17"/>
      <c r="G672" s="249"/>
      <c r="H672" s="249"/>
      <c r="I672" s="202"/>
      <c r="J672" s="192">
        <f t="shared" si="12"/>
        <v>0</v>
      </c>
    </row>
    <row r="673" spans="1:10" s="21" customFormat="1" ht="12.75" hidden="1">
      <c r="A673" s="6" t="s">
        <v>46</v>
      </c>
      <c r="B673" s="29"/>
      <c r="C673" s="29"/>
      <c r="D673" s="29"/>
      <c r="E673" s="20"/>
      <c r="F673" s="20"/>
      <c r="G673" s="236"/>
      <c r="H673" s="236"/>
      <c r="I673" s="215"/>
      <c r="J673" s="192">
        <f t="shared" si="12"/>
        <v>0</v>
      </c>
    </row>
    <row r="674" spans="1:10" s="28" customFormat="1" ht="12.75" hidden="1">
      <c r="A674" s="64" t="s">
        <v>129</v>
      </c>
      <c r="B674" s="27"/>
      <c r="C674" s="27"/>
      <c r="D674" s="27"/>
      <c r="E674" s="27"/>
      <c r="F674" s="20" t="s">
        <v>209</v>
      </c>
      <c r="G674" s="249"/>
      <c r="H674" s="249"/>
      <c r="I674" s="202"/>
      <c r="J674" s="192">
        <f t="shared" si="12"/>
        <v>0</v>
      </c>
    </row>
    <row r="675" spans="1:10" s="45" customFormat="1" ht="12.75" hidden="1">
      <c r="A675" s="43" t="s">
        <v>47</v>
      </c>
      <c r="B675" s="44" t="s">
        <v>156</v>
      </c>
      <c r="C675" s="44" t="s">
        <v>88</v>
      </c>
      <c r="D675" s="44" t="s">
        <v>2</v>
      </c>
      <c r="E675" s="44" t="s">
        <v>48</v>
      </c>
      <c r="F675" s="44"/>
      <c r="G675" s="239"/>
      <c r="H675" s="239"/>
      <c r="I675" s="198"/>
      <c r="J675" s="192">
        <f t="shared" si="12"/>
        <v>0</v>
      </c>
    </row>
    <row r="676" spans="1:10" s="21" customFormat="1" ht="25.5" hidden="1">
      <c r="A676" s="12" t="s">
        <v>41</v>
      </c>
      <c r="B676" s="29"/>
      <c r="C676" s="29"/>
      <c r="D676" s="29"/>
      <c r="E676" s="20"/>
      <c r="F676" s="20"/>
      <c r="G676" s="236"/>
      <c r="H676" s="236"/>
      <c r="I676" s="215"/>
      <c r="J676" s="192">
        <f t="shared" si="12"/>
        <v>0</v>
      </c>
    </row>
    <row r="677" spans="1:10" s="45" customFormat="1" ht="12.75" hidden="1">
      <c r="A677" s="43" t="s">
        <v>49</v>
      </c>
      <c r="B677" s="44" t="s">
        <v>156</v>
      </c>
      <c r="C677" s="44" t="s">
        <v>88</v>
      </c>
      <c r="D677" s="44" t="s">
        <v>2</v>
      </c>
      <c r="E677" s="44" t="s">
        <v>50</v>
      </c>
      <c r="F677" s="44"/>
      <c r="G677" s="239"/>
      <c r="H677" s="239"/>
      <c r="I677" s="198"/>
      <c r="J677" s="192">
        <f t="shared" si="12"/>
        <v>0</v>
      </c>
    </row>
    <row r="678" spans="1:10" s="28" customFormat="1" ht="12" customHeight="1" hidden="1">
      <c r="A678" s="87" t="s">
        <v>51</v>
      </c>
      <c r="B678" s="27" t="s">
        <v>156</v>
      </c>
      <c r="C678" s="27" t="s">
        <v>88</v>
      </c>
      <c r="D678" s="27" t="s">
        <v>2</v>
      </c>
      <c r="E678" s="27" t="s">
        <v>52</v>
      </c>
      <c r="F678" s="17"/>
      <c r="G678" s="249"/>
      <c r="H678" s="249"/>
      <c r="I678" s="202"/>
      <c r="J678" s="192">
        <f t="shared" si="12"/>
        <v>0</v>
      </c>
    </row>
    <row r="679" spans="1:10" s="21" customFormat="1" ht="12.75" hidden="1">
      <c r="A679" s="7" t="s">
        <v>53</v>
      </c>
      <c r="B679" s="29"/>
      <c r="C679" s="29"/>
      <c r="D679" s="29"/>
      <c r="E679" s="20"/>
      <c r="F679" s="20" t="s">
        <v>223</v>
      </c>
      <c r="G679" s="236"/>
      <c r="H679" s="236"/>
      <c r="I679" s="215"/>
      <c r="J679" s="192">
        <f t="shared" si="12"/>
        <v>0</v>
      </c>
    </row>
    <row r="680" spans="1:10" s="21" customFormat="1" ht="37.5" customHeight="1" hidden="1">
      <c r="A680" s="7" t="s">
        <v>54</v>
      </c>
      <c r="B680" s="29"/>
      <c r="C680" s="29"/>
      <c r="D680" s="29"/>
      <c r="E680" s="20"/>
      <c r="F680" s="20" t="s">
        <v>194</v>
      </c>
      <c r="G680" s="236"/>
      <c r="H680" s="236"/>
      <c r="I680" s="215"/>
      <c r="J680" s="192">
        <f t="shared" si="12"/>
        <v>0</v>
      </c>
    </row>
    <row r="681" spans="1:10" s="21" customFormat="1" ht="51" hidden="1">
      <c r="A681" s="7" t="s">
        <v>55</v>
      </c>
      <c r="B681" s="29"/>
      <c r="C681" s="29"/>
      <c r="D681" s="29"/>
      <c r="E681" s="20"/>
      <c r="F681" s="20" t="s">
        <v>193</v>
      </c>
      <c r="G681" s="236"/>
      <c r="H681" s="236"/>
      <c r="I681" s="215"/>
      <c r="J681" s="192">
        <f t="shared" si="12"/>
        <v>0</v>
      </c>
    </row>
    <row r="682" spans="1:10" s="21" customFormat="1" ht="12.75" hidden="1">
      <c r="A682" s="16" t="s">
        <v>56</v>
      </c>
      <c r="B682" s="27" t="s">
        <v>156</v>
      </c>
      <c r="C682" s="27" t="s">
        <v>88</v>
      </c>
      <c r="D682" s="27" t="s">
        <v>2</v>
      </c>
      <c r="E682" s="17" t="s">
        <v>57</v>
      </c>
      <c r="F682" s="17"/>
      <c r="G682" s="236"/>
      <c r="H682" s="236"/>
      <c r="I682" s="215"/>
      <c r="J682" s="192">
        <f t="shared" si="12"/>
        <v>0</v>
      </c>
    </row>
    <row r="683" spans="1:10" s="21" customFormat="1" ht="25.5" hidden="1">
      <c r="A683" s="7" t="s">
        <v>58</v>
      </c>
      <c r="B683" s="29"/>
      <c r="C683" s="29"/>
      <c r="D683" s="29"/>
      <c r="E683" s="20"/>
      <c r="F683" s="20" t="s">
        <v>195</v>
      </c>
      <c r="G683" s="236"/>
      <c r="H683" s="236"/>
      <c r="I683" s="215"/>
      <c r="J683" s="192">
        <f t="shared" si="12"/>
        <v>0</v>
      </c>
    </row>
    <row r="684" spans="1:10" s="21" customFormat="1" ht="12.75" hidden="1">
      <c r="A684" s="7" t="s">
        <v>59</v>
      </c>
      <c r="B684" s="29"/>
      <c r="C684" s="29"/>
      <c r="D684" s="29"/>
      <c r="E684" s="20"/>
      <c r="F684" s="20" t="s">
        <v>196</v>
      </c>
      <c r="G684" s="236"/>
      <c r="H684" s="236"/>
      <c r="I684" s="215"/>
      <c r="J684" s="192">
        <f t="shared" si="12"/>
        <v>0</v>
      </c>
    </row>
    <row r="685" spans="1:10" s="21" customFormat="1" ht="12.75" hidden="1">
      <c r="A685" s="7" t="s">
        <v>60</v>
      </c>
      <c r="B685" s="29"/>
      <c r="C685" s="29"/>
      <c r="D685" s="29"/>
      <c r="E685" s="20"/>
      <c r="F685" s="20" t="s">
        <v>197</v>
      </c>
      <c r="G685" s="236"/>
      <c r="H685" s="236"/>
      <c r="I685" s="215"/>
      <c r="J685" s="192">
        <f t="shared" si="12"/>
        <v>0</v>
      </c>
    </row>
    <row r="686" spans="1:10" s="21" customFormat="1" ht="38.25" customHeight="1" hidden="1">
      <c r="A686" s="7" t="s">
        <v>61</v>
      </c>
      <c r="B686" s="29"/>
      <c r="C686" s="29"/>
      <c r="D686" s="29"/>
      <c r="E686" s="20"/>
      <c r="F686" s="20" t="s">
        <v>198</v>
      </c>
      <c r="G686" s="236"/>
      <c r="H686" s="236"/>
      <c r="I686" s="215"/>
      <c r="J686" s="192">
        <f t="shared" si="12"/>
        <v>0</v>
      </c>
    </row>
    <row r="687" spans="1:10" s="21" customFormat="1" ht="12.75" hidden="1">
      <c r="A687" s="7"/>
      <c r="B687" s="20"/>
      <c r="C687" s="20"/>
      <c r="D687" s="20"/>
      <c r="E687" s="20"/>
      <c r="F687" s="20"/>
      <c r="G687" s="236"/>
      <c r="H687" s="236"/>
      <c r="I687" s="215"/>
      <c r="J687" s="192">
        <f t="shared" si="12"/>
        <v>0</v>
      </c>
    </row>
    <row r="688" spans="1:10" s="21" customFormat="1" ht="30" customHeight="1">
      <c r="A688" s="49" t="s">
        <v>76</v>
      </c>
      <c r="B688" s="48" t="s">
        <v>160</v>
      </c>
      <c r="C688" s="48" t="s">
        <v>88</v>
      </c>
      <c r="D688" s="48" t="s">
        <v>2</v>
      </c>
      <c r="E688" s="160"/>
      <c r="F688" s="160"/>
      <c r="G688" s="238">
        <f>G775+G778</f>
        <v>3411018.89</v>
      </c>
      <c r="H688" s="238">
        <f>H775+H778</f>
        <v>2543518.9</v>
      </c>
      <c r="I688" s="238">
        <f>I775+I778</f>
        <v>2013965.52</v>
      </c>
      <c r="J688" s="192">
        <f t="shared" si="12"/>
        <v>529553.3799999999</v>
      </c>
    </row>
    <row r="689" spans="1:10" s="21" customFormat="1" ht="25.5" hidden="1">
      <c r="A689" s="26" t="s">
        <v>77</v>
      </c>
      <c r="B689" s="24" t="s">
        <v>161</v>
      </c>
      <c r="C689" s="24" t="s">
        <v>126</v>
      </c>
      <c r="D689" s="24" t="s">
        <v>69</v>
      </c>
      <c r="E689" s="24"/>
      <c r="F689" s="24"/>
      <c r="G689" s="236"/>
      <c r="H689" s="236"/>
      <c r="I689" s="215"/>
      <c r="J689" s="192">
        <f t="shared" si="12"/>
        <v>0</v>
      </c>
    </row>
    <row r="690" spans="1:10" s="45" customFormat="1" ht="16.5" customHeight="1" hidden="1">
      <c r="A690" s="43" t="s">
        <v>4</v>
      </c>
      <c r="B690" s="44" t="s">
        <v>161</v>
      </c>
      <c r="C690" s="44" t="s">
        <v>126</v>
      </c>
      <c r="D690" s="44" t="s">
        <v>69</v>
      </c>
      <c r="E690" s="44" t="s">
        <v>5</v>
      </c>
      <c r="F690" s="44"/>
      <c r="G690" s="239"/>
      <c r="H690" s="239"/>
      <c r="I690" s="198"/>
      <c r="J690" s="192">
        <f t="shared" si="12"/>
        <v>0</v>
      </c>
    </row>
    <row r="691" spans="1:10" s="28" customFormat="1" ht="12.75" hidden="1">
      <c r="A691" s="87" t="s">
        <v>6</v>
      </c>
      <c r="B691" s="27" t="s">
        <v>161</v>
      </c>
      <c r="C691" s="27" t="s">
        <v>126</v>
      </c>
      <c r="D691" s="27" t="s">
        <v>69</v>
      </c>
      <c r="E691" s="27" t="s">
        <v>7</v>
      </c>
      <c r="F691" s="27"/>
      <c r="G691" s="249"/>
      <c r="H691" s="249"/>
      <c r="I691" s="202"/>
      <c r="J691" s="192">
        <f t="shared" si="12"/>
        <v>0</v>
      </c>
    </row>
    <row r="692" spans="1:10" s="28" customFormat="1" ht="12.75" hidden="1">
      <c r="A692" s="87" t="s">
        <v>8</v>
      </c>
      <c r="B692" s="27" t="s">
        <v>161</v>
      </c>
      <c r="C692" s="27" t="s">
        <v>126</v>
      </c>
      <c r="D692" s="27" t="s">
        <v>69</v>
      </c>
      <c r="E692" s="27" t="s">
        <v>9</v>
      </c>
      <c r="F692" s="27"/>
      <c r="G692" s="249"/>
      <c r="H692" s="249"/>
      <c r="I692" s="202"/>
      <c r="J692" s="192">
        <f t="shared" si="12"/>
        <v>0</v>
      </c>
    </row>
    <row r="693" spans="1:10" s="21" customFormat="1" ht="25.5" hidden="1">
      <c r="A693" s="11" t="s">
        <v>10</v>
      </c>
      <c r="B693" s="4"/>
      <c r="C693" s="4"/>
      <c r="D693" s="4"/>
      <c r="E693" s="4"/>
      <c r="F693" s="4" t="s">
        <v>183</v>
      </c>
      <c r="G693" s="236"/>
      <c r="H693" s="236"/>
      <c r="I693" s="215"/>
      <c r="J693" s="192">
        <f t="shared" si="12"/>
        <v>0</v>
      </c>
    </row>
    <row r="694" spans="1:10" s="21" customFormat="1" ht="14.25" customHeight="1" hidden="1">
      <c r="A694" s="12" t="s">
        <v>11</v>
      </c>
      <c r="B694" s="4"/>
      <c r="C694" s="4"/>
      <c r="D694" s="4"/>
      <c r="E694" s="4"/>
      <c r="F694" s="4" t="s">
        <v>200</v>
      </c>
      <c r="G694" s="236"/>
      <c r="H694" s="236"/>
      <c r="I694" s="215"/>
      <c r="J694" s="192">
        <f t="shared" si="12"/>
        <v>0</v>
      </c>
    </row>
    <row r="695" spans="1:10" s="21" customFormat="1" ht="25.5" hidden="1">
      <c r="A695" s="6" t="s">
        <v>12</v>
      </c>
      <c r="B695" s="4"/>
      <c r="C695" s="4"/>
      <c r="D695" s="4"/>
      <c r="E695" s="4"/>
      <c r="F695" s="4" t="s">
        <v>184</v>
      </c>
      <c r="G695" s="236"/>
      <c r="H695" s="236"/>
      <c r="I695" s="215"/>
      <c r="J695" s="192">
        <f t="shared" si="12"/>
        <v>0</v>
      </c>
    </row>
    <row r="696" spans="1:10" s="28" customFormat="1" ht="12.75" hidden="1">
      <c r="A696" s="87" t="s">
        <v>13</v>
      </c>
      <c r="B696" s="27" t="s">
        <v>161</v>
      </c>
      <c r="C696" s="27" t="s">
        <v>126</v>
      </c>
      <c r="D696" s="27" t="s">
        <v>69</v>
      </c>
      <c r="E696" s="27" t="s">
        <v>14</v>
      </c>
      <c r="F696" s="27"/>
      <c r="G696" s="249"/>
      <c r="H696" s="249"/>
      <c r="I696" s="202"/>
      <c r="J696" s="192">
        <f t="shared" si="12"/>
        <v>0</v>
      </c>
    </row>
    <row r="697" spans="1:10" s="45" customFormat="1" ht="12.75" hidden="1">
      <c r="A697" s="43" t="s">
        <v>15</v>
      </c>
      <c r="B697" s="44" t="s">
        <v>161</v>
      </c>
      <c r="C697" s="44" t="s">
        <v>126</v>
      </c>
      <c r="D697" s="44" t="s">
        <v>69</v>
      </c>
      <c r="E697" s="44" t="s">
        <v>16</v>
      </c>
      <c r="F697" s="44"/>
      <c r="G697" s="239"/>
      <c r="H697" s="239"/>
      <c r="I697" s="198"/>
      <c r="J697" s="192">
        <f t="shared" si="12"/>
        <v>0</v>
      </c>
    </row>
    <row r="698" spans="1:10" s="28" customFormat="1" ht="12.75" hidden="1">
      <c r="A698" s="87" t="s">
        <v>17</v>
      </c>
      <c r="B698" s="27" t="s">
        <v>161</v>
      </c>
      <c r="C698" s="27" t="s">
        <v>126</v>
      </c>
      <c r="D698" s="27" t="s">
        <v>69</v>
      </c>
      <c r="E698" s="27" t="s">
        <v>18</v>
      </c>
      <c r="F698" s="27"/>
      <c r="G698" s="249"/>
      <c r="H698" s="249"/>
      <c r="I698" s="202"/>
      <c r="J698" s="192">
        <f t="shared" si="12"/>
        <v>0</v>
      </c>
    </row>
    <row r="699" spans="1:10" s="28" customFormat="1" ht="12.75" hidden="1">
      <c r="A699" s="87" t="s">
        <v>21</v>
      </c>
      <c r="B699" s="27" t="s">
        <v>161</v>
      </c>
      <c r="C699" s="27" t="s">
        <v>126</v>
      </c>
      <c r="D699" s="27" t="s">
        <v>69</v>
      </c>
      <c r="E699" s="27" t="s">
        <v>19</v>
      </c>
      <c r="F699" s="27"/>
      <c r="G699" s="249"/>
      <c r="H699" s="249"/>
      <c r="I699" s="202"/>
      <c r="J699" s="192">
        <f t="shared" si="12"/>
        <v>0</v>
      </c>
    </row>
    <row r="700" spans="1:10" s="21" customFormat="1" ht="25.5" hidden="1">
      <c r="A700" s="11" t="s">
        <v>20</v>
      </c>
      <c r="B700" s="4"/>
      <c r="C700" s="4"/>
      <c r="D700" s="4"/>
      <c r="E700" s="4"/>
      <c r="F700" s="4" t="s">
        <v>183</v>
      </c>
      <c r="G700" s="236"/>
      <c r="H700" s="236"/>
      <c r="I700" s="215"/>
      <c r="J700" s="192">
        <f t="shared" si="12"/>
        <v>0</v>
      </c>
    </row>
    <row r="701" spans="1:10" s="21" customFormat="1" ht="38.25" hidden="1">
      <c r="A701" s="8" t="s">
        <v>22</v>
      </c>
      <c r="B701" s="4"/>
      <c r="C701" s="4"/>
      <c r="D701" s="4"/>
      <c r="E701" s="4"/>
      <c r="F701" s="4" t="s">
        <v>185</v>
      </c>
      <c r="G701" s="236"/>
      <c r="H701" s="236"/>
      <c r="I701" s="215"/>
      <c r="J701" s="192">
        <f t="shared" si="12"/>
        <v>0</v>
      </c>
    </row>
    <row r="702" spans="1:10" s="28" customFormat="1" ht="12.75" hidden="1">
      <c r="A702" s="87" t="s">
        <v>23</v>
      </c>
      <c r="B702" s="27" t="s">
        <v>161</v>
      </c>
      <c r="C702" s="27" t="s">
        <v>126</v>
      </c>
      <c r="D702" s="27" t="s">
        <v>69</v>
      </c>
      <c r="E702" s="27" t="s">
        <v>24</v>
      </c>
      <c r="F702" s="27"/>
      <c r="G702" s="249"/>
      <c r="H702" s="249"/>
      <c r="I702" s="202"/>
      <c r="J702" s="192">
        <f t="shared" si="12"/>
        <v>0</v>
      </c>
    </row>
    <row r="703" spans="1:10" s="21" customFormat="1" ht="25.5" hidden="1">
      <c r="A703" s="7" t="s">
        <v>25</v>
      </c>
      <c r="B703" s="4"/>
      <c r="C703" s="4"/>
      <c r="D703" s="4"/>
      <c r="E703" s="4"/>
      <c r="F703" s="4" t="s">
        <v>186</v>
      </c>
      <c r="G703" s="236"/>
      <c r="H703" s="236"/>
      <c r="I703" s="215"/>
      <c r="J703" s="192">
        <f t="shared" si="12"/>
        <v>0</v>
      </c>
    </row>
    <row r="704" spans="1:10" s="21" customFormat="1" ht="25.5" customHeight="1" hidden="1">
      <c r="A704" s="7" t="s">
        <v>26</v>
      </c>
      <c r="B704" s="4"/>
      <c r="C704" s="4"/>
      <c r="D704" s="4"/>
      <c r="E704" s="4"/>
      <c r="F704" s="4" t="s">
        <v>187</v>
      </c>
      <c r="G704" s="236"/>
      <c r="H704" s="236"/>
      <c r="I704" s="215"/>
      <c r="J704" s="192">
        <f t="shared" si="12"/>
        <v>0</v>
      </c>
    </row>
    <row r="705" spans="1:10" s="21" customFormat="1" ht="12.75" hidden="1">
      <c r="A705" s="7" t="s">
        <v>27</v>
      </c>
      <c r="B705" s="4"/>
      <c r="C705" s="4"/>
      <c r="D705" s="4"/>
      <c r="E705" s="4"/>
      <c r="F705" s="4" t="s">
        <v>188</v>
      </c>
      <c r="G705" s="236"/>
      <c r="H705" s="236"/>
      <c r="I705" s="215"/>
      <c r="J705" s="192">
        <f t="shared" si="12"/>
        <v>0</v>
      </c>
    </row>
    <row r="706" spans="1:10" s="28" customFormat="1" ht="13.5" customHeight="1" hidden="1">
      <c r="A706" s="87" t="s">
        <v>28</v>
      </c>
      <c r="B706" s="27" t="s">
        <v>161</v>
      </c>
      <c r="C706" s="27" t="s">
        <v>126</v>
      </c>
      <c r="D706" s="27" t="s">
        <v>69</v>
      </c>
      <c r="E706" s="27" t="s">
        <v>29</v>
      </c>
      <c r="F706" s="27"/>
      <c r="G706" s="249"/>
      <c r="H706" s="249"/>
      <c r="I706" s="202"/>
      <c r="J706" s="192">
        <f t="shared" si="12"/>
        <v>0</v>
      </c>
    </row>
    <row r="707" spans="1:10" s="28" customFormat="1" ht="12.75" hidden="1">
      <c r="A707" s="87" t="s">
        <v>30</v>
      </c>
      <c r="B707" s="27" t="s">
        <v>161</v>
      </c>
      <c r="C707" s="27" t="s">
        <v>126</v>
      </c>
      <c r="D707" s="27" t="s">
        <v>69</v>
      </c>
      <c r="E707" s="27" t="s">
        <v>31</v>
      </c>
      <c r="F707" s="27"/>
      <c r="G707" s="249"/>
      <c r="H707" s="249"/>
      <c r="I707" s="202"/>
      <c r="J707" s="192">
        <f t="shared" si="12"/>
        <v>0</v>
      </c>
    </row>
    <row r="708" spans="1:10" s="21" customFormat="1" ht="12.75" hidden="1">
      <c r="A708" s="7" t="s">
        <v>32</v>
      </c>
      <c r="B708" s="17"/>
      <c r="C708" s="17"/>
      <c r="D708" s="17"/>
      <c r="E708" s="17"/>
      <c r="F708" s="17" t="s">
        <v>189</v>
      </c>
      <c r="G708" s="236"/>
      <c r="H708" s="236"/>
      <c r="I708" s="215"/>
      <c r="J708" s="192">
        <f t="shared" si="12"/>
        <v>0</v>
      </c>
    </row>
    <row r="709" spans="1:10" s="21" customFormat="1" ht="12.75" hidden="1">
      <c r="A709" s="7" t="s">
        <v>33</v>
      </c>
      <c r="B709" s="17"/>
      <c r="C709" s="17"/>
      <c r="D709" s="17"/>
      <c r="E709" s="17"/>
      <c r="F709" s="17" t="s">
        <v>191</v>
      </c>
      <c r="G709" s="236"/>
      <c r="H709" s="236"/>
      <c r="I709" s="215"/>
      <c r="J709" s="192">
        <f t="shared" si="12"/>
        <v>0</v>
      </c>
    </row>
    <row r="710" spans="1:10" s="21" customFormat="1" ht="25.5" hidden="1">
      <c r="A710" s="7" t="s">
        <v>34</v>
      </c>
      <c r="B710" s="17"/>
      <c r="C710" s="17"/>
      <c r="D710" s="17"/>
      <c r="E710" s="17"/>
      <c r="F710" s="17" t="s">
        <v>221</v>
      </c>
      <c r="G710" s="236"/>
      <c r="H710" s="236"/>
      <c r="I710" s="215"/>
      <c r="J710" s="192">
        <f t="shared" si="12"/>
        <v>0</v>
      </c>
    </row>
    <row r="711" spans="1:10" s="21" customFormat="1" ht="25.5" hidden="1">
      <c r="A711" s="7" t="s">
        <v>35</v>
      </c>
      <c r="B711" s="17"/>
      <c r="C711" s="17"/>
      <c r="D711" s="17"/>
      <c r="E711" s="17"/>
      <c r="F711" s="17" t="s">
        <v>190</v>
      </c>
      <c r="G711" s="236"/>
      <c r="H711" s="236"/>
      <c r="I711" s="215"/>
      <c r="J711" s="192">
        <f t="shared" si="12"/>
        <v>0</v>
      </c>
    </row>
    <row r="712" spans="1:10" s="21" customFormat="1" ht="51" hidden="1">
      <c r="A712" s="7" t="s">
        <v>36</v>
      </c>
      <c r="B712" s="17"/>
      <c r="C712" s="17"/>
      <c r="D712" s="17"/>
      <c r="E712" s="17"/>
      <c r="F712" s="17" t="s">
        <v>190</v>
      </c>
      <c r="G712" s="236"/>
      <c r="H712" s="236"/>
      <c r="I712" s="215"/>
      <c r="J712" s="192">
        <f t="shared" si="12"/>
        <v>0</v>
      </c>
    </row>
    <row r="713" spans="1:10" s="28" customFormat="1" ht="12.75" hidden="1">
      <c r="A713" s="87" t="s">
        <v>37</v>
      </c>
      <c r="B713" s="27" t="s">
        <v>161</v>
      </c>
      <c r="C713" s="27" t="s">
        <v>126</v>
      </c>
      <c r="D713" s="27" t="s">
        <v>69</v>
      </c>
      <c r="E713" s="27" t="s">
        <v>38</v>
      </c>
      <c r="F713" s="17"/>
      <c r="G713" s="249"/>
      <c r="H713" s="249"/>
      <c r="I713" s="202"/>
      <c r="J713" s="192">
        <f t="shared" si="12"/>
        <v>0</v>
      </c>
    </row>
    <row r="714" spans="1:10" s="21" customFormat="1" ht="38.25" hidden="1">
      <c r="A714" s="11" t="s">
        <v>39</v>
      </c>
      <c r="B714" s="20"/>
      <c r="C714" s="20"/>
      <c r="D714" s="20"/>
      <c r="E714" s="20"/>
      <c r="F714" s="20" t="s">
        <v>183</v>
      </c>
      <c r="G714" s="236"/>
      <c r="H714" s="236"/>
      <c r="I714" s="215"/>
      <c r="J714" s="192">
        <f t="shared" si="12"/>
        <v>0</v>
      </c>
    </row>
    <row r="715" spans="1:10" s="21" customFormat="1" ht="38.25" hidden="1">
      <c r="A715" s="19" t="s">
        <v>40</v>
      </c>
      <c r="B715" s="20"/>
      <c r="C715" s="20"/>
      <c r="D715" s="20"/>
      <c r="E715" s="20"/>
      <c r="F715" s="20" t="s">
        <v>222</v>
      </c>
      <c r="G715" s="236"/>
      <c r="H715" s="236"/>
      <c r="I715" s="215"/>
      <c r="J715" s="192">
        <f aca="true" t="shared" si="13" ref="J715:J778">H715-I715</f>
        <v>0</v>
      </c>
    </row>
    <row r="716" spans="1:10" s="21" customFormat="1" ht="26.25" customHeight="1" hidden="1">
      <c r="A716" s="12" t="s">
        <v>41</v>
      </c>
      <c r="B716" s="20"/>
      <c r="C716" s="20"/>
      <c r="D716" s="20"/>
      <c r="E716" s="20"/>
      <c r="F716" s="20" t="s">
        <v>192</v>
      </c>
      <c r="G716" s="236"/>
      <c r="H716" s="236"/>
      <c r="I716" s="215"/>
      <c r="J716" s="192">
        <f t="shared" si="13"/>
        <v>0</v>
      </c>
    </row>
    <row r="717" spans="1:10" s="45" customFormat="1" ht="12.75" hidden="1">
      <c r="A717" s="43" t="s">
        <v>42</v>
      </c>
      <c r="B717" s="44" t="s">
        <v>161</v>
      </c>
      <c r="C717" s="44" t="s">
        <v>126</v>
      </c>
      <c r="D717" s="44" t="s">
        <v>69</v>
      </c>
      <c r="E717" s="44" t="s">
        <v>43</v>
      </c>
      <c r="F717" s="44"/>
      <c r="G717" s="239"/>
      <c r="H717" s="239"/>
      <c r="I717" s="198"/>
      <c r="J717" s="192">
        <f t="shared" si="13"/>
        <v>0</v>
      </c>
    </row>
    <row r="718" spans="1:10" s="28" customFormat="1" ht="12.75" hidden="1">
      <c r="A718" s="87" t="s">
        <v>44</v>
      </c>
      <c r="B718" s="27" t="s">
        <v>161</v>
      </c>
      <c r="C718" s="27" t="s">
        <v>126</v>
      </c>
      <c r="D718" s="27" t="s">
        <v>69</v>
      </c>
      <c r="E718" s="27" t="s">
        <v>45</v>
      </c>
      <c r="F718" s="17"/>
      <c r="G718" s="249"/>
      <c r="H718" s="249"/>
      <c r="I718" s="202"/>
      <c r="J718" s="192">
        <f t="shared" si="13"/>
        <v>0</v>
      </c>
    </row>
    <row r="719" spans="1:10" s="21" customFormat="1" ht="12.75" hidden="1">
      <c r="A719" s="6" t="s">
        <v>46</v>
      </c>
      <c r="B719" s="20"/>
      <c r="C719" s="20"/>
      <c r="D719" s="20"/>
      <c r="E719" s="20"/>
      <c r="F719" s="20"/>
      <c r="G719" s="236"/>
      <c r="H719" s="236"/>
      <c r="I719" s="215"/>
      <c r="J719" s="192">
        <f t="shared" si="13"/>
        <v>0</v>
      </c>
    </row>
    <row r="720" spans="1:10" s="45" customFormat="1" ht="12.75" hidden="1">
      <c r="A720" s="43" t="s">
        <v>47</v>
      </c>
      <c r="B720" s="44" t="s">
        <v>161</v>
      </c>
      <c r="C720" s="44" t="s">
        <v>126</v>
      </c>
      <c r="D720" s="44" t="s">
        <v>69</v>
      </c>
      <c r="E720" s="44" t="s">
        <v>48</v>
      </c>
      <c r="F720" s="44"/>
      <c r="G720" s="239"/>
      <c r="H720" s="239"/>
      <c r="I720" s="198"/>
      <c r="J720" s="192">
        <f t="shared" si="13"/>
        <v>0</v>
      </c>
    </row>
    <row r="721" spans="1:10" s="21" customFormat="1" ht="29.25" customHeight="1" hidden="1">
      <c r="A721" s="12" t="s">
        <v>41</v>
      </c>
      <c r="B721" s="20"/>
      <c r="C721" s="20"/>
      <c r="D721" s="20"/>
      <c r="E721" s="20"/>
      <c r="F721" s="20"/>
      <c r="G721" s="236"/>
      <c r="H721" s="236"/>
      <c r="I721" s="215"/>
      <c r="J721" s="192">
        <f t="shared" si="13"/>
        <v>0</v>
      </c>
    </row>
    <row r="722" spans="1:10" s="45" customFormat="1" ht="12.75" hidden="1">
      <c r="A722" s="43" t="s">
        <v>49</v>
      </c>
      <c r="B722" s="44" t="s">
        <v>161</v>
      </c>
      <c r="C722" s="44" t="s">
        <v>126</v>
      </c>
      <c r="D722" s="44" t="s">
        <v>69</v>
      </c>
      <c r="E722" s="44" t="s">
        <v>50</v>
      </c>
      <c r="F722" s="44"/>
      <c r="G722" s="239"/>
      <c r="H722" s="239"/>
      <c r="I722" s="198"/>
      <c r="J722" s="192">
        <f t="shared" si="13"/>
        <v>0</v>
      </c>
    </row>
    <row r="723" spans="1:10" s="28" customFormat="1" ht="12.75" hidden="1">
      <c r="A723" s="87" t="s">
        <v>51</v>
      </c>
      <c r="B723" s="27" t="s">
        <v>161</v>
      </c>
      <c r="C723" s="27" t="s">
        <v>126</v>
      </c>
      <c r="D723" s="27" t="s">
        <v>69</v>
      </c>
      <c r="E723" s="27" t="s">
        <v>52</v>
      </c>
      <c r="F723" s="17"/>
      <c r="G723" s="249"/>
      <c r="H723" s="249"/>
      <c r="I723" s="202"/>
      <c r="J723" s="192">
        <f t="shared" si="13"/>
        <v>0</v>
      </c>
    </row>
    <row r="724" spans="1:10" s="21" customFormat="1" ht="12.75" hidden="1">
      <c r="A724" s="7" t="s">
        <v>53</v>
      </c>
      <c r="B724" s="20"/>
      <c r="C724" s="20"/>
      <c r="D724" s="20"/>
      <c r="E724" s="20"/>
      <c r="F724" s="20" t="s">
        <v>223</v>
      </c>
      <c r="G724" s="236"/>
      <c r="H724" s="236"/>
      <c r="I724" s="215"/>
      <c r="J724" s="192">
        <f t="shared" si="13"/>
        <v>0</v>
      </c>
    </row>
    <row r="725" spans="1:10" s="21" customFormat="1" ht="51" customHeight="1" hidden="1">
      <c r="A725" s="7" t="s">
        <v>54</v>
      </c>
      <c r="B725" s="20"/>
      <c r="C725" s="20"/>
      <c r="D725" s="20"/>
      <c r="E725" s="20"/>
      <c r="F725" s="20" t="s">
        <v>194</v>
      </c>
      <c r="G725" s="236"/>
      <c r="H725" s="236"/>
      <c r="I725" s="215"/>
      <c r="J725" s="192">
        <f t="shared" si="13"/>
        <v>0</v>
      </c>
    </row>
    <row r="726" spans="1:10" s="21" customFormat="1" ht="52.5" customHeight="1" hidden="1">
      <c r="A726" s="7" t="s">
        <v>55</v>
      </c>
      <c r="B726" s="20"/>
      <c r="C726" s="20"/>
      <c r="D726" s="20"/>
      <c r="E726" s="20"/>
      <c r="F726" s="20" t="s">
        <v>193</v>
      </c>
      <c r="G726" s="236"/>
      <c r="H726" s="236"/>
      <c r="I726" s="215"/>
      <c r="J726" s="192">
        <f t="shared" si="13"/>
        <v>0</v>
      </c>
    </row>
    <row r="727" spans="1:10" s="28" customFormat="1" ht="15.75" customHeight="1" hidden="1">
      <c r="A727" s="87" t="s">
        <v>56</v>
      </c>
      <c r="B727" s="27" t="s">
        <v>161</v>
      </c>
      <c r="C727" s="27" t="s">
        <v>126</v>
      </c>
      <c r="D727" s="27" t="s">
        <v>69</v>
      </c>
      <c r="E727" s="27" t="s">
        <v>57</v>
      </c>
      <c r="F727" s="17"/>
      <c r="G727" s="249"/>
      <c r="H727" s="249"/>
      <c r="I727" s="202"/>
      <c r="J727" s="192">
        <f t="shared" si="13"/>
        <v>0</v>
      </c>
    </row>
    <row r="728" spans="1:10" s="21" customFormat="1" ht="25.5" hidden="1">
      <c r="A728" s="7" t="s">
        <v>58</v>
      </c>
      <c r="B728" s="20"/>
      <c r="C728" s="20"/>
      <c r="D728" s="20"/>
      <c r="E728" s="20"/>
      <c r="F728" s="20" t="s">
        <v>195</v>
      </c>
      <c r="G728" s="236"/>
      <c r="H728" s="236"/>
      <c r="I728" s="215"/>
      <c r="J728" s="192">
        <f t="shared" si="13"/>
        <v>0</v>
      </c>
    </row>
    <row r="729" spans="1:10" s="21" customFormat="1" ht="12.75" hidden="1">
      <c r="A729" s="7" t="s">
        <v>59</v>
      </c>
      <c r="B729" s="20"/>
      <c r="C729" s="20"/>
      <c r="D729" s="20"/>
      <c r="E729" s="20"/>
      <c r="F729" s="20" t="s">
        <v>196</v>
      </c>
      <c r="G729" s="236"/>
      <c r="H729" s="236"/>
      <c r="I729" s="215"/>
      <c r="J729" s="192">
        <f t="shared" si="13"/>
        <v>0</v>
      </c>
    </row>
    <row r="730" spans="1:10" s="21" customFormat="1" ht="12.75" hidden="1">
      <c r="A730" s="7" t="s">
        <v>60</v>
      </c>
      <c r="B730" s="20"/>
      <c r="C730" s="20"/>
      <c r="D730" s="20"/>
      <c r="E730" s="20"/>
      <c r="F730" s="20" t="s">
        <v>197</v>
      </c>
      <c r="G730" s="236"/>
      <c r="H730" s="236"/>
      <c r="I730" s="215"/>
      <c r="J730" s="192">
        <f t="shared" si="13"/>
        <v>0</v>
      </c>
    </row>
    <row r="731" spans="1:10" s="21" customFormat="1" ht="38.25" customHeight="1" hidden="1">
      <c r="A731" s="7" t="s">
        <v>61</v>
      </c>
      <c r="B731" s="20"/>
      <c r="C731" s="20"/>
      <c r="D731" s="20"/>
      <c r="E731" s="20"/>
      <c r="F731" s="20" t="s">
        <v>198</v>
      </c>
      <c r="G731" s="236"/>
      <c r="H731" s="236"/>
      <c r="I731" s="215"/>
      <c r="J731" s="192">
        <f t="shared" si="13"/>
        <v>0</v>
      </c>
    </row>
    <row r="732" spans="1:10" s="21" customFormat="1" ht="12.75" hidden="1">
      <c r="A732" s="26" t="s">
        <v>78</v>
      </c>
      <c r="B732" s="24" t="s">
        <v>161</v>
      </c>
      <c r="C732" s="24" t="s">
        <v>143</v>
      </c>
      <c r="D732" s="24" t="s">
        <v>69</v>
      </c>
      <c r="E732" s="24"/>
      <c r="F732" s="24"/>
      <c r="G732" s="236"/>
      <c r="H732" s="236"/>
      <c r="I732" s="215"/>
      <c r="J732" s="192">
        <f t="shared" si="13"/>
        <v>0</v>
      </c>
    </row>
    <row r="733" spans="1:10" s="45" customFormat="1" ht="15.75" customHeight="1" hidden="1">
      <c r="A733" s="43" t="s">
        <v>4</v>
      </c>
      <c r="B733" s="44" t="s">
        <v>161</v>
      </c>
      <c r="C733" s="44" t="s">
        <v>143</v>
      </c>
      <c r="D733" s="44" t="s">
        <v>69</v>
      </c>
      <c r="E733" s="44" t="s">
        <v>5</v>
      </c>
      <c r="F733" s="44"/>
      <c r="G733" s="239"/>
      <c r="H733" s="239"/>
      <c r="I733" s="198"/>
      <c r="J733" s="192">
        <f t="shared" si="13"/>
        <v>0</v>
      </c>
    </row>
    <row r="734" spans="1:10" s="28" customFormat="1" ht="12.75" hidden="1">
      <c r="A734" s="87" t="s">
        <v>6</v>
      </c>
      <c r="B734" s="27" t="s">
        <v>161</v>
      </c>
      <c r="C734" s="27" t="s">
        <v>143</v>
      </c>
      <c r="D734" s="27" t="s">
        <v>69</v>
      </c>
      <c r="E734" s="27" t="s">
        <v>7</v>
      </c>
      <c r="F734" s="27"/>
      <c r="G734" s="249"/>
      <c r="H734" s="249"/>
      <c r="I734" s="202"/>
      <c r="J734" s="192">
        <f t="shared" si="13"/>
        <v>0</v>
      </c>
    </row>
    <row r="735" spans="1:10" s="28" customFormat="1" ht="12.75" hidden="1">
      <c r="A735" s="87" t="s">
        <v>8</v>
      </c>
      <c r="B735" s="27" t="s">
        <v>161</v>
      </c>
      <c r="C735" s="27" t="s">
        <v>143</v>
      </c>
      <c r="D735" s="27" t="s">
        <v>69</v>
      </c>
      <c r="E735" s="27" t="s">
        <v>9</v>
      </c>
      <c r="F735" s="27"/>
      <c r="G735" s="249"/>
      <c r="H735" s="249"/>
      <c r="I735" s="202"/>
      <c r="J735" s="192">
        <f t="shared" si="13"/>
        <v>0</v>
      </c>
    </row>
    <row r="736" spans="1:10" s="21" customFormat="1" ht="25.5" hidden="1">
      <c r="A736" s="11" t="s">
        <v>10</v>
      </c>
      <c r="B736" s="4"/>
      <c r="C736" s="4"/>
      <c r="D736" s="4"/>
      <c r="E736" s="4"/>
      <c r="F736" s="4" t="s">
        <v>183</v>
      </c>
      <c r="G736" s="236"/>
      <c r="H736" s="236"/>
      <c r="I736" s="215"/>
      <c r="J736" s="192">
        <f t="shared" si="13"/>
        <v>0</v>
      </c>
    </row>
    <row r="737" spans="1:10" s="21" customFormat="1" ht="18" customHeight="1" hidden="1">
      <c r="A737" s="12" t="s">
        <v>11</v>
      </c>
      <c r="B737" s="4"/>
      <c r="C737" s="4"/>
      <c r="D737" s="4"/>
      <c r="E737" s="4"/>
      <c r="F737" s="4" t="s">
        <v>200</v>
      </c>
      <c r="G737" s="236"/>
      <c r="H737" s="236"/>
      <c r="I737" s="215"/>
      <c r="J737" s="192">
        <f t="shared" si="13"/>
        <v>0</v>
      </c>
    </row>
    <row r="738" spans="1:10" s="21" customFormat="1" ht="25.5" hidden="1">
      <c r="A738" s="6" t="s">
        <v>12</v>
      </c>
      <c r="B738" s="4"/>
      <c r="C738" s="4"/>
      <c r="D738" s="4"/>
      <c r="E738" s="4"/>
      <c r="F738" s="4" t="s">
        <v>184</v>
      </c>
      <c r="G738" s="236"/>
      <c r="H738" s="236"/>
      <c r="I738" s="215"/>
      <c r="J738" s="192">
        <f t="shared" si="13"/>
        <v>0</v>
      </c>
    </row>
    <row r="739" spans="1:10" s="28" customFormat="1" ht="12.75" hidden="1">
      <c r="A739" s="87" t="s">
        <v>13</v>
      </c>
      <c r="B739" s="27" t="s">
        <v>161</v>
      </c>
      <c r="C739" s="27" t="s">
        <v>143</v>
      </c>
      <c r="D739" s="27" t="s">
        <v>69</v>
      </c>
      <c r="E739" s="27" t="s">
        <v>14</v>
      </c>
      <c r="F739" s="27"/>
      <c r="G739" s="249"/>
      <c r="H739" s="249"/>
      <c r="I739" s="202"/>
      <c r="J739" s="192">
        <f t="shared" si="13"/>
        <v>0</v>
      </c>
    </row>
    <row r="740" spans="1:10" s="45" customFormat="1" ht="12.75" hidden="1">
      <c r="A740" s="43" t="s">
        <v>15</v>
      </c>
      <c r="B740" s="44" t="s">
        <v>161</v>
      </c>
      <c r="C740" s="44" t="s">
        <v>143</v>
      </c>
      <c r="D740" s="44" t="s">
        <v>69</v>
      </c>
      <c r="E740" s="44" t="s">
        <v>16</v>
      </c>
      <c r="F740" s="44"/>
      <c r="G740" s="239"/>
      <c r="H740" s="239"/>
      <c r="I740" s="198"/>
      <c r="J740" s="192">
        <f t="shared" si="13"/>
        <v>0</v>
      </c>
    </row>
    <row r="741" spans="1:10" s="28" customFormat="1" ht="12.75" hidden="1">
      <c r="A741" s="87" t="s">
        <v>17</v>
      </c>
      <c r="B741" s="27" t="s">
        <v>161</v>
      </c>
      <c r="C741" s="27" t="s">
        <v>143</v>
      </c>
      <c r="D741" s="27" t="s">
        <v>69</v>
      </c>
      <c r="E741" s="27" t="s">
        <v>18</v>
      </c>
      <c r="F741" s="27"/>
      <c r="G741" s="249"/>
      <c r="H741" s="249"/>
      <c r="I741" s="202"/>
      <c r="J741" s="192">
        <f t="shared" si="13"/>
        <v>0</v>
      </c>
    </row>
    <row r="742" spans="1:10" s="28" customFormat="1" ht="12.75" hidden="1">
      <c r="A742" s="87" t="s">
        <v>21</v>
      </c>
      <c r="B742" s="27" t="s">
        <v>161</v>
      </c>
      <c r="C742" s="27" t="s">
        <v>143</v>
      </c>
      <c r="D742" s="27" t="s">
        <v>69</v>
      </c>
      <c r="E742" s="27" t="s">
        <v>19</v>
      </c>
      <c r="F742" s="27"/>
      <c r="G742" s="249"/>
      <c r="H742" s="249"/>
      <c r="I742" s="202"/>
      <c r="J742" s="192">
        <f t="shared" si="13"/>
        <v>0</v>
      </c>
    </row>
    <row r="743" spans="1:10" s="21" customFormat="1" ht="25.5" hidden="1">
      <c r="A743" s="11" t="s">
        <v>20</v>
      </c>
      <c r="B743" s="4"/>
      <c r="C743" s="4"/>
      <c r="D743" s="4"/>
      <c r="E743" s="4"/>
      <c r="F743" s="4" t="s">
        <v>183</v>
      </c>
      <c r="G743" s="236"/>
      <c r="H743" s="236"/>
      <c r="I743" s="215"/>
      <c r="J743" s="192">
        <f t="shared" si="13"/>
        <v>0</v>
      </c>
    </row>
    <row r="744" spans="1:10" s="21" customFormat="1" ht="38.25" hidden="1">
      <c r="A744" s="8" t="s">
        <v>22</v>
      </c>
      <c r="B744" s="4"/>
      <c r="C744" s="4"/>
      <c r="D744" s="4"/>
      <c r="E744" s="4"/>
      <c r="F744" s="4" t="s">
        <v>185</v>
      </c>
      <c r="G744" s="236"/>
      <c r="H744" s="236"/>
      <c r="I744" s="215"/>
      <c r="J744" s="192">
        <f t="shared" si="13"/>
        <v>0</v>
      </c>
    </row>
    <row r="745" spans="1:10" s="21" customFormat="1" ht="12.75" hidden="1">
      <c r="A745" s="16" t="s">
        <v>23</v>
      </c>
      <c r="B745" s="27" t="s">
        <v>161</v>
      </c>
      <c r="C745" s="17" t="s">
        <v>143</v>
      </c>
      <c r="D745" s="17" t="s">
        <v>69</v>
      </c>
      <c r="E745" s="17" t="s">
        <v>24</v>
      </c>
      <c r="F745" s="17"/>
      <c r="G745" s="236"/>
      <c r="H745" s="236"/>
      <c r="I745" s="215"/>
      <c r="J745" s="192">
        <f t="shared" si="13"/>
        <v>0</v>
      </c>
    </row>
    <row r="746" spans="1:10" s="21" customFormat="1" ht="25.5" hidden="1">
      <c r="A746" s="7" t="s">
        <v>25</v>
      </c>
      <c r="B746" s="4"/>
      <c r="C746" s="4"/>
      <c r="D746" s="4"/>
      <c r="E746" s="4"/>
      <c r="F746" s="4" t="s">
        <v>186</v>
      </c>
      <c r="G746" s="236"/>
      <c r="H746" s="236"/>
      <c r="I746" s="215"/>
      <c r="J746" s="192">
        <f t="shared" si="13"/>
        <v>0</v>
      </c>
    </row>
    <row r="747" spans="1:10" s="21" customFormat="1" ht="24.75" customHeight="1" hidden="1">
      <c r="A747" s="7" t="s">
        <v>26</v>
      </c>
      <c r="B747" s="4"/>
      <c r="C747" s="4"/>
      <c r="D747" s="4"/>
      <c r="E747" s="4"/>
      <c r="F747" s="4" t="s">
        <v>187</v>
      </c>
      <c r="G747" s="236"/>
      <c r="H747" s="236"/>
      <c r="I747" s="215"/>
      <c r="J747" s="192">
        <f t="shared" si="13"/>
        <v>0</v>
      </c>
    </row>
    <row r="748" spans="1:10" s="21" customFormat="1" ht="12.75" hidden="1">
      <c r="A748" s="7" t="s">
        <v>27</v>
      </c>
      <c r="B748" s="4"/>
      <c r="C748" s="4"/>
      <c r="D748" s="4"/>
      <c r="E748" s="4"/>
      <c r="F748" s="4" t="s">
        <v>188</v>
      </c>
      <c r="G748" s="236"/>
      <c r="H748" s="236"/>
      <c r="I748" s="215"/>
      <c r="J748" s="192">
        <f t="shared" si="13"/>
        <v>0</v>
      </c>
    </row>
    <row r="749" spans="1:10" s="28" customFormat="1" ht="13.5" customHeight="1" hidden="1">
      <c r="A749" s="87" t="s">
        <v>28</v>
      </c>
      <c r="B749" s="27" t="s">
        <v>161</v>
      </c>
      <c r="C749" s="27" t="s">
        <v>143</v>
      </c>
      <c r="D749" s="27" t="s">
        <v>69</v>
      </c>
      <c r="E749" s="27" t="s">
        <v>29</v>
      </c>
      <c r="F749" s="27"/>
      <c r="G749" s="249"/>
      <c r="H749" s="249"/>
      <c r="I749" s="202"/>
      <c r="J749" s="192">
        <f t="shared" si="13"/>
        <v>0</v>
      </c>
    </row>
    <row r="750" spans="1:10" s="28" customFormat="1" ht="12.75" hidden="1">
      <c r="A750" s="87" t="s">
        <v>30</v>
      </c>
      <c r="B750" s="27" t="s">
        <v>161</v>
      </c>
      <c r="C750" s="27" t="s">
        <v>143</v>
      </c>
      <c r="D750" s="27" t="s">
        <v>69</v>
      </c>
      <c r="E750" s="27" t="s">
        <v>31</v>
      </c>
      <c r="F750" s="27"/>
      <c r="G750" s="249"/>
      <c r="H750" s="249"/>
      <c r="I750" s="202"/>
      <c r="J750" s="192">
        <f t="shared" si="13"/>
        <v>0</v>
      </c>
    </row>
    <row r="751" spans="1:10" s="21" customFormat="1" ht="12.75" hidden="1">
      <c r="A751" s="7" t="s">
        <v>32</v>
      </c>
      <c r="B751" s="17"/>
      <c r="C751" s="17"/>
      <c r="D751" s="17"/>
      <c r="E751" s="17"/>
      <c r="F751" s="17" t="s">
        <v>189</v>
      </c>
      <c r="G751" s="236"/>
      <c r="H751" s="236"/>
      <c r="I751" s="215"/>
      <c r="J751" s="192">
        <f t="shared" si="13"/>
        <v>0</v>
      </c>
    </row>
    <row r="752" spans="1:10" s="21" customFormat="1" ht="12.75" hidden="1">
      <c r="A752" s="7" t="s">
        <v>33</v>
      </c>
      <c r="B752" s="17"/>
      <c r="C752" s="17"/>
      <c r="D752" s="17"/>
      <c r="E752" s="17"/>
      <c r="F752" s="17" t="s">
        <v>191</v>
      </c>
      <c r="G752" s="236"/>
      <c r="H752" s="236"/>
      <c r="I752" s="215"/>
      <c r="J752" s="192">
        <f t="shared" si="13"/>
        <v>0</v>
      </c>
    </row>
    <row r="753" spans="1:10" s="21" customFormat="1" ht="25.5" hidden="1">
      <c r="A753" s="7" t="s">
        <v>34</v>
      </c>
      <c r="B753" s="17"/>
      <c r="C753" s="17"/>
      <c r="D753" s="17"/>
      <c r="E753" s="17"/>
      <c r="F753" s="17" t="s">
        <v>221</v>
      </c>
      <c r="G753" s="236"/>
      <c r="H753" s="236"/>
      <c r="I753" s="215"/>
      <c r="J753" s="192">
        <f t="shared" si="13"/>
        <v>0</v>
      </c>
    </row>
    <row r="754" spans="1:10" s="21" customFormat="1" ht="25.5" hidden="1">
      <c r="A754" s="7" t="s">
        <v>35</v>
      </c>
      <c r="B754" s="17"/>
      <c r="C754" s="17"/>
      <c r="D754" s="17"/>
      <c r="E754" s="17"/>
      <c r="F754" s="17" t="s">
        <v>190</v>
      </c>
      <c r="G754" s="236"/>
      <c r="H754" s="236"/>
      <c r="I754" s="215"/>
      <c r="J754" s="192">
        <f t="shared" si="13"/>
        <v>0</v>
      </c>
    </row>
    <row r="755" spans="1:10" s="21" customFormat="1" ht="51" hidden="1">
      <c r="A755" s="7" t="s">
        <v>36</v>
      </c>
      <c r="B755" s="17"/>
      <c r="C755" s="17"/>
      <c r="D755" s="17"/>
      <c r="E755" s="17"/>
      <c r="F755" s="17" t="s">
        <v>190</v>
      </c>
      <c r="G755" s="236"/>
      <c r="H755" s="236"/>
      <c r="I755" s="215"/>
      <c r="J755" s="192">
        <f t="shared" si="13"/>
        <v>0</v>
      </c>
    </row>
    <row r="756" spans="1:10" s="28" customFormat="1" ht="12.75" hidden="1">
      <c r="A756" s="87" t="s">
        <v>37</v>
      </c>
      <c r="B756" s="27" t="s">
        <v>161</v>
      </c>
      <c r="C756" s="27" t="s">
        <v>143</v>
      </c>
      <c r="D756" s="27" t="s">
        <v>69</v>
      </c>
      <c r="E756" s="27" t="s">
        <v>38</v>
      </c>
      <c r="F756" s="17"/>
      <c r="G756" s="249"/>
      <c r="H756" s="249"/>
      <c r="I756" s="202"/>
      <c r="J756" s="192">
        <f t="shared" si="13"/>
        <v>0</v>
      </c>
    </row>
    <row r="757" spans="1:10" s="21" customFormat="1" ht="38.25" hidden="1">
      <c r="A757" s="11" t="s">
        <v>39</v>
      </c>
      <c r="B757" s="20"/>
      <c r="C757" s="20"/>
      <c r="D757" s="20"/>
      <c r="E757" s="20"/>
      <c r="F757" s="20" t="s">
        <v>183</v>
      </c>
      <c r="G757" s="236"/>
      <c r="H757" s="236"/>
      <c r="I757" s="215"/>
      <c r="J757" s="192">
        <f t="shared" si="13"/>
        <v>0</v>
      </c>
    </row>
    <row r="758" spans="1:10" s="21" customFormat="1" ht="38.25" hidden="1">
      <c r="A758" s="19" t="s">
        <v>40</v>
      </c>
      <c r="B758" s="20"/>
      <c r="C758" s="20"/>
      <c r="D758" s="20"/>
      <c r="E758" s="20"/>
      <c r="F758" s="20" t="s">
        <v>222</v>
      </c>
      <c r="G758" s="236"/>
      <c r="H758" s="236"/>
      <c r="I758" s="215"/>
      <c r="J758" s="192">
        <f t="shared" si="13"/>
        <v>0</v>
      </c>
    </row>
    <row r="759" spans="1:10" s="21" customFormat="1" ht="27.75" customHeight="1" hidden="1">
      <c r="A759" s="12" t="s">
        <v>41</v>
      </c>
      <c r="B759" s="20"/>
      <c r="C759" s="20"/>
      <c r="D759" s="20"/>
      <c r="E759" s="20"/>
      <c r="F759" s="20" t="s">
        <v>192</v>
      </c>
      <c r="G759" s="236"/>
      <c r="H759" s="236"/>
      <c r="I759" s="215"/>
      <c r="J759" s="192">
        <f t="shared" si="13"/>
        <v>0</v>
      </c>
    </row>
    <row r="760" spans="1:10" s="45" customFormat="1" ht="12.75" hidden="1">
      <c r="A760" s="43" t="s">
        <v>42</v>
      </c>
      <c r="B760" s="44" t="s">
        <v>161</v>
      </c>
      <c r="C760" s="44" t="s">
        <v>143</v>
      </c>
      <c r="D760" s="44" t="s">
        <v>69</v>
      </c>
      <c r="E760" s="44" t="s">
        <v>43</v>
      </c>
      <c r="F760" s="44"/>
      <c r="G760" s="239"/>
      <c r="H760" s="239"/>
      <c r="I760" s="198"/>
      <c r="J760" s="192">
        <f t="shared" si="13"/>
        <v>0</v>
      </c>
    </row>
    <row r="761" spans="1:10" s="28" customFormat="1" ht="12.75" hidden="1">
      <c r="A761" s="87" t="s">
        <v>44</v>
      </c>
      <c r="B761" s="27" t="s">
        <v>161</v>
      </c>
      <c r="C761" s="27" t="s">
        <v>143</v>
      </c>
      <c r="D761" s="27" t="s">
        <v>69</v>
      </c>
      <c r="E761" s="27" t="s">
        <v>45</v>
      </c>
      <c r="F761" s="17"/>
      <c r="G761" s="249"/>
      <c r="H761" s="249"/>
      <c r="I761" s="202"/>
      <c r="J761" s="192">
        <f t="shared" si="13"/>
        <v>0</v>
      </c>
    </row>
    <row r="762" spans="1:10" s="21" customFormat="1" ht="12.75" hidden="1">
      <c r="A762" s="6" t="s">
        <v>46</v>
      </c>
      <c r="B762" s="20"/>
      <c r="C762" s="20"/>
      <c r="D762" s="20"/>
      <c r="E762" s="20"/>
      <c r="F762" s="20"/>
      <c r="G762" s="236"/>
      <c r="H762" s="236"/>
      <c r="I762" s="215"/>
      <c r="J762" s="192">
        <f t="shared" si="13"/>
        <v>0</v>
      </c>
    </row>
    <row r="763" spans="1:10" s="45" customFormat="1" ht="12.75" hidden="1">
      <c r="A763" s="43" t="s">
        <v>47</v>
      </c>
      <c r="B763" s="44" t="s">
        <v>161</v>
      </c>
      <c r="C763" s="44" t="s">
        <v>143</v>
      </c>
      <c r="D763" s="44" t="s">
        <v>69</v>
      </c>
      <c r="E763" s="44" t="s">
        <v>48</v>
      </c>
      <c r="F763" s="44"/>
      <c r="G763" s="239"/>
      <c r="H763" s="239"/>
      <c r="I763" s="198"/>
      <c r="J763" s="192">
        <f t="shared" si="13"/>
        <v>0</v>
      </c>
    </row>
    <row r="764" spans="1:10" s="21" customFormat="1" ht="27" customHeight="1" hidden="1">
      <c r="A764" s="12" t="s">
        <v>41</v>
      </c>
      <c r="B764" s="20"/>
      <c r="C764" s="20"/>
      <c r="D764" s="20"/>
      <c r="E764" s="20"/>
      <c r="F764" s="20"/>
      <c r="G764" s="236"/>
      <c r="H764" s="236"/>
      <c r="I764" s="215"/>
      <c r="J764" s="192">
        <f t="shared" si="13"/>
        <v>0</v>
      </c>
    </row>
    <row r="765" spans="1:10" s="45" customFormat="1" ht="12.75" hidden="1">
      <c r="A765" s="43" t="s">
        <v>49</v>
      </c>
      <c r="B765" s="44" t="s">
        <v>161</v>
      </c>
      <c r="C765" s="44" t="s">
        <v>143</v>
      </c>
      <c r="D765" s="44" t="s">
        <v>69</v>
      </c>
      <c r="E765" s="44" t="s">
        <v>50</v>
      </c>
      <c r="F765" s="44"/>
      <c r="G765" s="239"/>
      <c r="H765" s="239"/>
      <c r="I765" s="198"/>
      <c r="J765" s="192">
        <f t="shared" si="13"/>
        <v>0</v>
      </c>
    </row>
    <row r="766" spans="1:10" s="28" customFormat="1" ht="12.75" hidden="1">
      <c r="A766" s="87" t="s">
        <v>51</v>
      </c>
      <c r="B766" s="27" t="s">
        <v>161</v>
      </c>
      <c r="C766" s="27" t="s">
        <v>143</v>
      </c>
      <c r="D766" s="27" t="s">
        <v>69</v>
      </c>
      <c r="E766" s="27" t="s">
        <v>52</v>
      </c>
      <c r="F766" s="17"/>
      <c r="G766" s="249"/>
      <c r="H766" s="249"/>
      <c r="I766" s="202"/>
      <c r="J766" s="192">
        <f t="shared" si="13"/>
        <v>0</v>
      </c>
    </row>
    <row r="767" spans="1:10" s="21" customFormat="1" ht="12.75" hidden="1">
      <c r="A767" s="7" t="s">
        <v>53</v>
      </c>
      <c r="B767" s="20"/>
      <c r="C767" s="20"/>
      <c r="D767" s="20"/>
      <c r="E767" s="20"/>
      <c r="F767" s="20" t="s">
        <v>223</v>
      </c>
      <c r="G767" s="236"/>
      <c r="H767" s="236"/>
      <c r="I767" s="215"/>
      <c r="J767" s="192">
        <f t="shared" si="13"/>
        <v>0</v>
      </c>
    </row>
    <row r="768" spans="1:10" s="21" customFormat="1" ht="51" hidden="1">
      <c r="A768" s="7" t="s">
        <v>54</v>
      </c>
      <c r="B768" s="20"/>
      <c r="C768" s="20"/>
      <c r="D768" s="20"/>
      <c r="E768" s="20"/>
      <c r="F768" s="20" t="s">
        <v>194</v>
      </c>
      <c r="G768" s="236"/>
      <c r="H768" s="236"/>
      <c r="I768" s="215"/>
      <c r="J768" s="192">
        <f t="shared" si="13"/>
        <v>0</v>
      </c>
    </row>
    <row r="769" spans="1:10" s="21" customFormat="1" ht="51" customHeight="1" hidden="1">
      <c r="A769" s="7" t="s">
        <v>55</v>
      </c>
      <c r="B769" s="20"/>
      <c r="C769" s="20"/>
      <c r="D769" s="20"/>
      <c r="E769" s="20"/>
      <c r="F769" s="20" t="s">
        <v>193</v>
      </c>
      <c r="G769" s="236"/>
      <c r="H769" s="236"/>
      <c r="I769" s="215"/>
      <c r="J769" s="192">
        <f t="shared" si="13"/>
        <v>0</v>
      </c>
    </row>
    <row r="770" spans="1:10" s="28" customFormat="1" ht="12.75" customHeight="1" hidden="1">
      <c r="A770" s="87" t="s">
        <v>56</v>
      </c>
      <c r="B770" s="27" t="s">
        <v>161</v>
      </c>
      <c r="C770" s="27" t="s">
        <v>143</v>
      </c>
      <c r="D770" s="27" t="s">
        <v>69</v>
      </c>
      <c r="E770" s="27" t="s">
        <v>57</v>
      </c>
      <c r="F770" s="17"/>
      <c r="G770" s="249"/>
      <c r="H770" s="249"/>
      <c r="I770" s="202"/>
      <c r="J770" s="192">
        <f t="shared" si="13"/>
        <v>0</v>
      </c>
    </row>
    <row r="771" spans="1:10" s="21" customFormat="1" ht="25.5" hidden="1">
      <c r="A771" s="7" t="s">
        <v>58</v>
      </c>
      <c r="B771" s="20"/>
      <c r="C771" s="20"/>
      <c r="D771" s="20"/>
      <c r="E771" s="20"/>
      <c r="F771" s="20" t="s">
        <v>195</v>
      </c>
      <c r="G771" s="236"/>
      <c r="H771" s="236"/>
      <c r="I771" s="215"/>
      <c r="J771" s="192">
        <f t="shared" si="13"/>
        <v>0</v>
      </c>
    </row>
    <row r="772" spans="1:10" s="21" customFormat="1" ht="12.75" hidden="1">
      <c r="A772" s="7" t="s">
        <v>59</v>
      </c>
      <c r="B772" s="20"/>
      <c r="C772" s="20"/>
      <c r="D772" s="20"/>
      <c r="E772" s="20"/>
      <c r="F772" s="20" t="s">
        <v>196</v>
      </c>
      <c r="G772" s="236"/>
      <c r="H772" s="236"/>
      <c r="I772" s="215"/>
      <c r="J772" s="192">
        <f t="shared" si="13"/>
        <v>0</v>
      </c>
    </row>
    <row r="773" spans="1:10" s="21" customFormat="1" ht="12.75" customHeight="1" hidden="1">
      <c r="A773" s="7" t="s">
        <v>60</v>
      </c>
      <c r="B773" s="20"/>
      <c r="C773" s="20"/>
      <c r="D773" s="20"/>
      <c r="E773" s="20"/>
      <c r="F773" s="20" t="s">
        <v>197</v>
      </c>
      <c r="G773" s="236"/>
      <c r="H773" s="236"/>
      <c r="I773" s="215"/>
      <c r="J773" s="192">
        <f t="shared" si="13"/>
        <v>0</v>
      </c>
    </row>
    <row r="774" spans="1:10" s="21" customFormat="1" ht="14.25" customHeight="1" hidden="1">
      <c r="A774" s="7" t="s">
        <v>61</v>
      </c>
      <c r="B774" s="20"/>
      <c r="C774" s="20"/>
      <c r="D774" s="20"/>
      <c r="E774" s="20"/>
      <c r="F774" s="20" t="s">
        <v>198</v>
      </c>
      <c r="G774" s="236"/>
      <c r="H774" s="236"/>
      <c r="I774" s="215"/>
      <c r="J774" s="192">
        <f t="shared" si="13"/>
        <v>0</v>
      </c>
    </row>
    <row r="775" spans="1:10" s="45" customFormat="1" ht="12.75">
      <c r="A775" s="166" t="s">
        <v>272</v>
      </c>
      <c r="B775" s="70" t="s">
        <v>161</v>
      </c>
      <c r="C775" s="70" t="s">
        <v>127</v>
      </c>
      <c r="D775" s="70" t="s">
        <v>2</v>
      </c>
      <c r="E775" s="70"/>
      <c r="F775" s="70"/>
      <c r="G775" s="255">
        <f aca="true" t="shared" si="14" ref="G775:I776">G776</f>
        <v>3291018.89</v>
      </c>
      <c r="H775" s="255">
        <f t="shared" si="14"/>
        <v>2483518.9</v>
      </c>
      <c r="I775" s="255">
        <f t="shared" si="14"/>
        <v>1935541.62</v>
      </c>
      <c r="J775" s="192">
        <f t="shared" si="13"/>
        <v>547977.2799999998</v>
      </c>
    </row>
    <row r="776" spans="1:10" s="28" customFormat="1" ht="12.75">
      <c r="A776" s="87" t="s">
        <v>37</v>
      </c>
      <c r="B776" s="27" t="s">
        <v>161</v>
      </c>
      <c r="C776" s="27" t="s">
        <v>127</v>
      </c>
      <c r="D776" s="27" t="s">
        <v>79</v>
      </c>
      <c r="E776" s="27" t="s">
        <v>38</v>
      </c>
      <c r="F776" s="50"/>
      <c r="G776" s="247">
        <f t="shared" si="14"/>
        <v>3291018.89</v>
      </c>
      <c r="H776" s="247">
        <f t="shared" si="14"/>
        <v>2483518.9</v>
      </c>
      <c r="I776" s="247">
        <f t="shared" si="14"/>
        <v>1935541.62</v>
      </c>
      <c r="J776" s="192">
        <f t="shared" si="13"/>
        <v>547977.2799999998</v>
      </c>
    </row>
    <row r="777" spans="1:10" s="21" customFormat="1" ht="25.5" customHeight="1">
      <c r="A777" s="12" t="s">
        <v>354</v>
      </c>
      <c r="B777" s="20"/>
      <c r="C777" s="20"/>
      <c r="D777" s="20"/>
      <c r="E777" s="20"/>
      <c r="F777" s="20" t="s">
        <v>403</v>
      </c>
      <c r="G777" s="236">
        <v>3291018.89</v>
      </c>
      <c r="H777" s="236">
        <f>367000+2116518.9</f>
        <v>2483518.9</v>
      </c>
      <c r="I777" s="215">
        <v>1935541.62</v>
      </c>
      <c r="J777" s="192">
        <f t="shared" si="13"/>
        <v>547977.2799999998</v>
      </c>
    </row>
    <row r="778" spans="1:10" s="21" customFormat="1" ht="12.75">
      <c r="A778" s="125" t="s">
        <v>241</v>
      </c>
      <c r="B778" s="14" t="s">
        <v>162</v>
      </c>
      <c r="C778" s="14" t="s">
        <v>368</v>
      </c>
      <c r="D778" s="14" t="s">
        <v>69</v>
      </c>
      <c r="E778" s="14"/>
      <c r="F778" s="14"/>
      <c r="G778" s="235">
        <f aca="true" t="shared" si="15" ref="G778:I779">G779</f>
        <v>120000</v>
      </c>
      <c r="H778" s="235">
        <f t="shared" si="15"/>
        <v>60000</v>
      </c>
      <c r="I778" s="235">
        <f t="shared" si="15"/>
        <v>78423.9</v>
      </c>
      <c r="J778" s="192">
        <f t="shared" si="13"/>
        <v>-18423.899999999994</v>
      </c>
    </row>
    <row r="779" spans="1:10" s="21" customFormat="1" ht="12.75">
      <c r="A779" s="87" t="s">
        <v>37</v>
      </c>
      <c r="B779" s="14" t="s">
        <v>162</v>
      </c>
      <c r="C779" s="20" t="s">
        <v>368</v>
      </c>
      <c r="D779" s="20" t="s">
        <v>69</v>
      </c>
      <c r="E779" s="20" t="s">
        <v>38</v>
      </c>
      <c r="F779" s="20"/>
      <c r="G779" s="236">
        <f t="shared" si="15"/>
        <v>120000</v>
      </c>
      <c r="H779" s="236">
        <f t="shared" si="15"/>
        <v>60000</v>
      </c>
      <c r="I779" s="236">
        <f t="shared" si="15"/>
        <v>78423.9</v>
      </c>
      <c r="J779" s="192">
        <f aca="true" t="shared" si="16" ref="J779:J808">H779-I779</f>
        <v>-18423.899999999994</v>
      </c>
    </row>
    <row r="780" spans="1:10" s="21" customFormat="1" ht="25.5">
      <c r="A780" s="12" t="s">
        <v>354</v>
      </c>
      <c r="B780" s="14"/>
      <c r="C780" s="20"/>
      <c r="D780" s="20"/>
      <c r="E780" s="20"/>
      <c r="F780" s="20" t="s">
        <v>403</v>
      </c>
      <c r="G780" s="236">
        <v>120000</v>
      </c>
      <c r="H780" s="236">
        <f>30000+30000</f>
        <v>60000</v>
      </c>
      <c r="I780" s="215">
        <v>78423.9</v>
      </c>
      <c r="J780" s="192">
        <f t="shared" si="16"/>
        <v>-18423.899999999994</v>
      </c>
    </row>
    <row r="781" spans="1:10" s="21" customFormat="1" ht="12.75">
      <c r="A781" s="49" t="s">
        <v>80</v>
      </c>
      <c r="B781" s="48" t="s">
        <v>163</v>
      </c>
      <c r="C781" s="48" t="s">
        <v>128</v>
      </c>
      <c r="D781" s="48" t="s">
        <v>81</v>
      </c>
      <c r="E781" s="48"/>
      <c r="F781" s="48"/>
      <c r="G781" s="238">
        <f aca="true" t="shared" si="17" ref="G781:I782">G782</f>
        <v>775400</v>
      </c>
      <c r="H781" s="238">
        <f t="shared" si="17"/>
        <v>445700</v>
      </c>
      <c r="I781" s="238">
        <f t="shared" si="17"/>
        <v>252720.4</v>
      </c>
      <c r="J781" s="192">
        <f t="shared" si="16"/>
        <v>192979.6</v>
      </c>
    </row>
    <row r="782" spans="1:10" s="21" customFormat="1" ht="12.75">
      <c r="A782" s="87" t="s">
        <v>37</v>
      </c>
      <c r="B782" s="14" t="s">
        <v>163</v>
      </c>
      <c r="C782" s="14" t="s">
        <v>128</v>
      </c>
      <c r="D782" s="14" t="s">
        <v>81</v>
      </c>
      <c r="E782" s="14" t="s">
        <v>38</v>
      </c>
      <c r="F782" s="14"/>
      <c r="G782" s="235">
        <f t="shared" si="17"/>
        <v>775400</v>
      </c>
      <c r="H782" s="235">
        <f t="shared" si="17"/>
        <v>445700</v>
      </c>
      <c r="I782" s="235">
        <f t="shared" si="17"/>
        <v>252720.4</v>
      </c>
      <c r="J782" s="192">
        <f t="shared" si="16"/>
        <v>192979.6</v>
      </c>
    </row>
    <row r="783" spans="1:10" s="21" customFormat="1" ht="25.5">
      <c r="A783" s="12" t="s">
        <v>408</v>
      </c>
      <c r="B783" s="20"/>
      <c r="C783" s="20"/>
      <c r="D783" s="20"/>
      <c r="E783" s="20"/>
      <c r="F783" s="20" t="s">
        <v>403</v>
      </c>
      <c r="G783" s="236">
        <v>775400</v>
      </c>
      <c r="H783" s="236">
        <f>160000+285700</f>
        <v>445700</v>
      </c>
      <c r="I783" s="215">
        <v>252720.4</v>
      </c>
      <c r="J783" s="192">
        <f t="shared" si="16"/>
        <v>192979.6</v>
      </c>
    </row>
    <row r="784" spans="1:10" s="21" customFormat="1" ht="12.75" hidden="1">
      <c r="A784" s="12" t="s">
        <v>132</v>
      </c>
      <c r="B784" s="20"/>
      <c r="C784" s="20"/>
      <c r="D784" s="20"/>
      <c r="E784" s="20"/>
      <c r="F784" s="20"/>
      <c r="G784" s="236"/>
      <c r="H784" s="236"/>
      <c r="I784" s="215"/>
      <c r="J784" s="192">
        <f t="shared" si="16"/>
        <v>0</v>
      </c>
    </row>
    <row r="785" spans="1:10" s="21" customFormat="1" ht="12.75" hidden="1">
      <c r="A785" s="12" t="s">
        <v>133</v>
      </c>
      <c r="B785" s="20"/>
      <c r="C785" s="20"/>
      <c r="D785" s="20"/>
      <c r="E785" s="20"/>
      <c r="F785" s="20"/>
      <c r="G785" s="236"/>
      <c r="H785" s="236"/>
      <c r="I785" s="215"/>
      <c r="J785" s="192">
        <f t="shared" si="16"/>
        <v>0</v>
      </c>
    </row>
    <row r="786" spans="1:10" s="21" customFormat="1" ht="12.75" hidden="1">
      <c r="A786" s="12" t="s">
        <v>134</v>
      </c>
      <c r="B786" s="20"/>
      <c r="C786" s="20"/>
      <c r="D786" s="20"/>
      <c r="E786" s="20"/>
      <c r="F786" s="20"/>
      <c r="G786" s="236"/>
      <c r="H786" s="236"/>
      <c r="I786" s="215"/>
      <c r="J786" s="192">
        <f t="shared" si="16"/>
        <v>0</v>
      </c>
    </row>
    <row r="787" spans="1:10" s="21" customFormat="1" ht="12.75" hidden="1">
      <c r="A787" s="12" t="s">
        <v>139</v>
      </c>
      <c r="B787" s="20"/>
      <c r="C787" s="20"/>
      <c r="D787" s="20"/>
      <c r="E787" s="20"/>
      <c r="F787" s="20"/>
      <c r="G787" s="236"/>
      <c r="H787" s="236"/>
      <c r="I787" s="215"/>
      <c r="J787" s="192">
        <f t="shared" si="16"/>
        <v>0</v>
      </c>
    </row>
    <row r="788" spans="1:10" s="21" customFormat="1" ht="12.75" hidden="1">
      <c r="A788" s="12" t="s">
        <v>135</v>
      </c>
      <c r="B788" s="20"/>
      <c r="C788" s="20"/>
      <c r="D788" s="20"/>
      <c r="E788" s="20"/>
      <c r="F788" s="20"/>
      <c r="G788" s="236"/>
      <c r="H788" s="236"/>
      <c r="I788" s="215"/>
      <c r="J788" s="192">
        <f t="shared" si="16"/>
        <v>0</v>
      </c>
    </row>
    <row r="789" spans="1:10" s="21" customFormat="1" ht="12.75">
      <c r="A789" s="12"/>
      <c r="B789" s="20"/>
      <c r="C789" s="20"/>
      <c r="D789" s="20"/>
      <c r="E789" s="20"/>
      <c r="F789" s="20"/>
      <c r="G789" s="236"/>
      <c r="H789" s="236"/>
      <c r="I789" s="215"/>
      <c r="J789" s="192">
        <f t="shared" si="16"/>
        <v>0</v>
      </c>
    </row>
    <row r="790" spans="1:10" s="21" customFormat="1" ht="12.75">
      <c r="A790" s="167" t="s">
        <v>235</v>
      </c>
      <c r="B790" s="48" t="s">
        <v>273</v>
      </c>
      <c r="C790" s="160" t="s">
        <v>88</v>
      </c>
      <c r="D790" s="160" t="s">
        <v>2</v>
      </c>
      <c r="E790" s="160"/>
      <c r="F790" s="160"/>
      <c r="G790" s="238">
        <f>G791</f>
        <v>2474616.7</v>
      </c>
      <c r="H790" s="238">
        <f>H791</f>
        <v>1251808.2</v>
      </c>
      <c r="I790" s="238">
        <f>I791</f>
        <v>953350.53</v>
      </c>
      <c r="J790" s="192">
        <f t="shared" si="16"/>
        <v>298457.6699999999</v>
      </c>
    </row>
    <row r="791" spans="1:10" s="21" customFormat="1" ht="12.75">
      <c r="A791" s="22" t="s">
        <v>274</v>
      </c>
      <c r="B791" s="14" t="s">
        <v>236</v>
      </c>
      <c r="C791" s="14" t="s">
        <v>88</v>
      </c>
      <c r="D791" s="14" t="s">
        <v>2</v>
      </c>
      <c r="E791" s="14"/>
      <c r="F791" s="14"/>
      <c r="G791" s="235">
        <f>G792+G798+G795</f>
        <v>2474616.7</v>
      </c>
      <c r="H791" s="235">
        <f>H792+H798+H795</f>
        <v>1251808.2</v>
      </c>
      <c r="I791" s="235">
        <f>I792+I798+I795</f>
        <v>953350.53</v>
      </c>
      <c r="J791" s="192">
        <f t="shared" si="16"/>
        <v>298457.6699999999</v>
      </c>
    </row>
    <row r="792" spans="1:10" s="21" customFormat="1" ht="38.25">
      <c r="A792" s="22" t="s">
        <v>275</v>
      </c>
      <c r="B792" s="14" t="s">
        <v>236</v>
      </c>
      <c r="C792" s="14" t="s">
        <v>430</v>
      </c>
      <c r="D792" s="14" t="s">
        <v>281</v>
      </c>
      <c r="E792" s="14"/>
      <c r="F792" s="14"/>
      <c r="G792" s="235">
        <f aca="true" t="shared" si="18" ref="G792:I793">G793</f>
        <v>1395616.7</v>
      </c>
      <c r="H792" s="235">
        <f t="shared" si="18"/>
        <v>697808.2</v>
      </c>
      <c r="I792" s="235">
        <f t="shared" si="18"/>
        <v>492495</v>
      </c>
      <c r="J792" s="192">
        <f t="shared" si="16"/>
        <v>205313.19999999995</v>
      </c>
    </row>
    <row r="793" spans="1:10" s="21" customFormat="1" ht="12.75">
      <c r="A793" s="11" t="s">
        <v>278</v>
      </c>
      <c r="B793" s="20" t="s">
        <v>236</v>
      </c>
      <c r="C793" s="14" t="s">
        <v>430</v>
      </c>
      <c r="D793" s="20" t="s">
        <v>281</v>
      </c>
      <c r="E793" s="20" t="s">
        <v>43</v>
      </c>
      <c r="F793" s="20"/>
      <c r="G793" s="236">
        <f t="shared" si="18"/>
        <v>1395616.7</v>
      </c>
      <c r="H793" s="236">
        <f t="shared" si="18"/>
        <v>697808.2</v>
      </c>
      <c r="I793" s="215">
        <f t="shared" si="18"/>
        <v>492495</v>
      </c>
      <c r="J793" s="192">
        <f t="shared" si="16"/>
        <v>205313.19999999995</v>
      </c>
    </row>
    <row r="794" spans="1:10" s="21" customFormat="1" ht="12.75">
      <c r="A794" s="11" t="s">
        <v>44</v>
      </c>
      <c r="B794" s="20" t="s">
        <v>236</v>
      </c>
      <c r="C794" s="14" t="s">
        <v>431</v>
      </c>
      <c r="D794" s="20" t="s">
        <v>281</v>
      </c>
      <c r="E794" s="20" t="s">
        <v>45</v>
      </c>
      <c r="F794" s="20" t="s">
        <v>414</v>
      </c>
      <c r="G794" s="236">
        <v>1395616.7</v>
      </c>
      <c r="H794" s="236">
        <f>348904+348904.2</f>
        <v>697808.2</v>
      </c>
      <c r="I794" s="215">
        <v>492495</v>
      </c>
      <c r="J794" s="192">
        <f t="shared" si="16"/>
        <v>205313.19999999995</v>
      </c>
    </row>
    <row r="795" spans="1:10" s="21" customFormat="1" ht="12.75">
      <c r="A795" s="22" t="s">
        <v>237</v>
      </c>
      <c r="B795" s="164" t="s">
        <v>236</v>
      </c>
      <c r="C795" s="164" t="s">
        <v>238</v>
      </c>
      <c r="D795" s="164" t="s">
        <v>239</v>
      </c>
      <c r="E795" s="164"/>
      <c r="F795" s="164"/>
      <c r="G795" s="244">
        <f>G796</f>
        <v>79000</v>
      </c>
      <c r="H795" s="244">
        <f>H796</f>
        <v>79000</v>
      </c>
      <c r="I795" s="244">
        <f>I796</f>
        <v>77355.53</v>
      </c>
      <c r="J795" s="192">
        <f t="shared" si="16"/>
        <v>1644.4700000000012</v>
      </c>
    </row>
    <row r="796" spans="1:10" s="21" customFormat="1" ht="12.75">
      <c r="A796" s="11" t="s">
        <v>42</v>
      </c>
      <c r="B796" s="20" t="s">
        <v>236</v>
      </c>
      <c r="C796" s="20" t="s">
        <v>276</v>
      </c>
      <c r="D796" s="20" t="s">
        <v>239</v>
      </c>
      <c r="E796" s="20" t="s">
        <v>43</v>
      </c>
      <c r="F796" s="20"/>
      <c r="G796" s="236">
        <f>G797</f>
        <v>79000</v>
      </c>
      <c r="H796" s="236">
        <v>79000</v>
      </c>
      <c r="I796" s="215">
        <f>I797</f>
        <v>77355.53</v>
      </c>
      <c r="J796" s="192">
        <f t="shared" si="16"/>
        <v>1644.4700000000012</v>
      </c>
    </row>
    <row r="797" spans="1:10" s="21" customFormat="1" ht="12.75">
      <c r="A797" s="11" t="s">
        <v>44</v>
      </c>
      <c r="B797" s="20" t="s">
        <v>236</v>
      </c>
      <c r="C797" s="20" t="s">
        <v>276</v>
      </c>
      <c r="D797" s="20" t="s">
        <v>239</v>
      </c>
      <c r="E797" s="20" t="s">
        <v>45</v>
      </c>
      <c r="F797" s="20" t="s">
        <v>369</v>
      </c>
      <c r="G797" s="236">
        <v>79000</v>
      </c>
      <c r="H797" s="236">
        <v>79000</v>
      </c>
      <c r="I797" s="215">
        <v>77355.53</v>
      </c>
      <c r="J797" s="192">
        <f t="shared" si="16"/>
        <v>1644.4700000000012</v>
      </c>
    </row>
    <row r="798" spans="1:10" s="21" customFormat="1" ht="18" customHeight="1">
      <c r="A798" s="22" t="s">
        <v>279</v>
      </c>
      <c r="B798" s="14" t="s">
        <v>236</v>
      </c>
      <c r="C798" s="14" t="s">
        <v>280</v>
      </c>
      <c r="D798" s="14" t="s">
        <v>281</v>
      </c>
      <c r="E798" s="14"/>
      <c r="F798" s="14"/>
      <c r="G798" s="235">
        <f aca="true" t="shared" si="19" ref="G798:I800">G799</f>
        <v>1000000</v>
      </c>
      <c r="H798" s="235">
        <f t="shared" si="19"/>
        <v>475000</v>
      </c>
      <c r="I798" s="235">
        <f t="shared" si="19"/>
        <v>383500</v>
      </c>
      <c r="J798" s="192">
        <f t="shared" si="16"/>
        <v>91500</v>
      </c>
    </row>
    <row r="799" spans="1:10" s="21" customFormat="1" ht="12.75">
      <c r="A799" s="11" t="s">
        <v>15</v>
      </c>
      <c r="B799" s="20" t="s">
        <v>236</v>
      </c>
      <c r="C799" s="20" t="s">
        <v>280</v>
      </c>
      <c r="D799" s="20" t="s">
        <v>281</v>
      </c>
      <c r="E799" s="20" t="s">
        <v>16</v>
      </c>
      <c r="F799" s="20"/>
      <c r="G799" s="236">
        <f t="shared" si="19"/>
        <v>1000000</v>
      </c>
      <c r="H799" s="236">
        <f t="shared" si="19"/>
        <v>475000</v>
      </c>
      <c r="I799" s="215">
        <f t="shared" si="19"/>
        <v>383500</v>
      </c>
      <c r="J799" s="192">
        <f t="shared" si="16"/>
        <v>91500</v>
      </c>
    </row>
    <row r="800" spans="1:10" s="21" customFormat="1" ht="12.75">
      <c r="A800" s="11" t="s">
        <v>37</v>
      </c>
      <c r="B800" s="20" t="s">
        <v>236</v>
      </c>
      <c r="C800" s="20" t="s">
        <v>280</v>
      </c>
      <c r="D800" s="20" t="s">
        <v>281</v>
      </c>
      <c r="E800" s="20" t="s">
        <v>38</v>
      </c>
      <c r="F800" s="20"/>
      <c r="G800" s="236">
        <f t="shared" si="19"/>
        <v>1000000</v>
      </c>
      <c r="H800" s="236">
        <f t="shared" si="19"/>
        <v>475000</v>
      </c>
      <c r="I800" s="215">
        <f t="shared" si="19"/>
        <v>383500</v>
      </c>
      <c r="J800" s="192">
        <f t="shared" si="16"/>
        <v>91500</v>
      </c>
    </row>
    <row r="801" spans="1:10" s="21" customFormat="1" ht="25.5">
      <c r="A801" s="168" t="s">
        <v>354</v>
      </c>
      <c r="B801" s="17"/>
      <c r="C801" s="17"/>
      <c r="D801" s="17"/>
      <c r="E801" s="17"/>
      <c r="F801" s="20" t="s">
        <v>382</v>
      </c>
      <c r="G801" s="240">
        <v>1000000</v>
      </c>
      <c r="H801" s="240">
        <f>H802</f>
        <v>475000</v>
      </c>
      <c r="I801" s="213">
        <v>383500</v>
      </c>
      <c r="J801" s="192">
        <f t="shared" si="16"/>
        <v>91500</v>
      </c>
    </row>
    <row r="802" spans="1:10" s="21" customFormat="1" ht="12.75">
      <c r="A802" s="11" t="s">
        <v>283</v>
      </c>
      <c r="B802" s="20"/>
      <c r="C802" s="20"/>
      <c r="D802" s="20"/>
      <c r="E802" s="20"/>
      <c r="F802" s="20"/>
      <c r="G802" s="236">
        <f>G803</f>
        <v>1000000</v>
      </c>
      <c r="H802" s="236">
        <v>475000</v>
      </c>
      <c r="I802" s="215">
        <f>I803</f>
        <v>383500</v>
      </c>
      <c r="J802" s="192">
        <f t="shared" si="16"/>
        <v>91500</v>
      </c>
    </row>
    <row r="803" spans="1:10" s="21" customFormat="1" ht="24.75" customHeight="1">
      <c r="A803" s="11" t="s">
        <v>282</v>
      </c>
      <c r="B803" s="20"/>
      <c r="C803" s="20"/>
      <c r="D803" s="20"/>
      <c r="E803" s="20"/>
      <c r="F803" s="20"/>
      <c r="G803" s="236">
        <v>1000000</v>
      </c>
      <c r="H803" s="236">
        <f>235000+240000</f>
        <v>475000</v>
      </c>
      <c r="I803" s="215">
        <v>383500</v>
      </c>
      <c r="J803" s="192">
        <f t="shared" si="16"/>
        <v>91500</v>
      </c>
    </row>
    <row r="804" spans="1:10" s="21" customFormat="1" ht="12.75">
      <c r="A804" s="125" t="s">
        <v>290</v>
      </c>
      <c r="B804" s="14" t="s">
        <v>240</v>
      </c>
      <c r="C804" s="14" t="s">
        <v>88</v>
      </c>
      <c r="D804" s="14" t="s">
        <v>2</v>
      </c>
      <c r="E804" s="20"/>
      <c r="F804" s="20"/>
      <c r="G804" s="235">
        <f aca="true" t="shared" si="20" ref="G804:I806">G805</f>
        <v>8275900</v>
      </c>
      <c r="H804" s="235">
        <f t="shared" si="20"/>
        <v>4137950</v>
      </c>
      <c r="I804" s="196">
        <f t="shared" si="20"/>
        <v>4137949.98</v>
      </c>
      <c r="J804" s="192">
        <f t="shared" si="16"/>
        <v>0.02000000001862645</v>
      </c>
    </row>
    <row r="805" spans="1:10" s="21" customFormat="1" ht="25.5">
      <c r="A805" s="125" t="s">
        <v>291</v>
      </c>
      <c r="B805" s="14" t="s">
        <v>292</v>
      </c>
      <c r="C805" s="14" t="s">
        <v>88</v>
      </c>
      <c r="D805" s="14" t="s">
        <v>2</v>
      </c>
      <c r="E805" s="20"/>
      <c r="F805" s="20"/>
      <c r="G805" s="235">
        <f t="shared" si="20"/>
        <v>8275900</v>
      </c>
      <c r="H805" s="235">
        <f t="shared" si="20"/>
        <v>4137950</v>
      </c>
      <c r="I805" s="235">
        <f t="shared" si="20"/>
        <v>4137949.98</v>
      </c>
      <c r="J805" s="192">
        <f t="shared" si="16"/>
        <v>0.02000000001862645</v>
      </c>
    </row>
    <row r="806" spans="1:10" s="21" customFormat="1" ht="12.75">
      <c r="A806" s="6" t="s">
        <v>293</v>
      </c>
      <c r="B806" s="20" t="s">
        <v>292</v>
      </c>
      <c r="C806" s="20" t="s">
        <v>294</v>
      </c>
      <c r="D806" s="20" t="s">
        <v>2</v>
      </c>
      <c r="E806" s="20"/>
      <c r="F806" s="20"/>
      <c r="G806" s="236">
        <f t="shared" si="20"/>
        <v>8275900</v>
      </c>
      <c r="H806" s="236">
        <f t="shared" si="20"/>
        <v>4137950</v>
      </c>
      <c r="I806" s="215">
        <f t="shared" si="20"/>
        <v>4137949.98</v>
      </c>
      <c r="J806" s="192">
        <f t="shared" si="16"/>
        <v>0.02000000001862645</v>
      </c>
    </row>
    <row r="807" spans="1:10" s="21" customFormat="1" ht="38.25">
      <c r="A807" s="6" t="s">
        <v>296</v>
      </c>
      <c r="B807" s="20" t="s">
        <v>292</v>
      </c>
      <c r="C807" s="20" t="s">
        <v>294</v>
      </c>
      <c r="D807" s="20" t="s">
        <v>295</v>
      </c>
      <c r="E807" s="20" t="s">
        <v>404</v>
      </c>
      <c r="F807" s="20" t="s">
        <v>369</v>
      </c>
      <c r="G807" s="236">
        <v>8275900</v>
      </c>
      <c r="H807" s="236">
        <f>2068975+2068975</f>
        <v>4137950</v>
      </c>
      <c r="I807" s="215">
        <v>4137949.98</v>
      </c>
      <c r="J807" s="192">
        <f t="shared" si="16"/>
        <v>0.02000000001862645</v>
      </c>
    </row>
    <row r="808" spans="1:10" s="45" customFormat="1" ht="15.75">
      <c r="A808" s="170" t="s">
        <v>230</v>
      </c>
      <c r="B808" s="171"/>
      <c r="C808" s="171"/>
      <c r="D808" s="171"/>
      <c r="E808" s="171"/>
      <c r="F808" s="171"/>
      <c r="G808" s="256">
        <f>G790+G781+G688+G352+G335+G10+G804+G328+G319</f>
        <v>61748226.95</v>
      </c>
      <c r="H808" s="256">
        <f>H790+H781+H688+H352+H335+H10+H804+H328+H319</f>
        <v>36892913.66</v>
      </c>
      <c r="I808" s="256">
        <f>I790+I781+I688+I352+I335+I10+I804+I328+I319</f>
        <v>24469919.290000003</v>
      </c>
      <c r="J808" s="275">
        <f t="shared" si="16"/>
        <v>12422994.369999994</v>
      </c>
    </row>
    <row r="809" spans="1:10" s="45" customFormat="1" ht="15.75">
      <c r="A809" s="177"/>
      <c r="B809" s="178"/>
      <c r="C809" s="178"/>
      <c r="D809" s="178"/>
      <c r="E809" s="178"/>
      <c r="F809" s="178"/>
      <c r="G809" s="257"/>
      <c r="H809" s="257"/>
      <c r="I809" s="256"/>
      <c r="J809" s="268"/>
    </row>
    <row r="810" spans="1:10" s="45" customFormat="1" ht="15.75">
      <c r="A810" s="179"/>
      <c r="B810" s="180"/>
      <c r="C810" s="180"/>
      <c r="D810" s="180"/>
      <c r="E810" s="180"/>
      <c r="F810" s="180"/>
      <c r="G810" s="266"/>
      <c r="H810" s="266"/>
      <c r="I810" s="265"/>
      <c r="J810" s="181"/>
    </row>
    <row r="811" spans="1:10" s="45" customFormat="1" ht="17.25" customHeight="1">
      <c r="A811" s="179" t="s">
        <v>333</v>
      </c>
      <c r="B811" s="180"/>
      <c r="C811" s="180"/>
      <c r="D811" s="180"/>
      <c r="E811" s="180"/>
      <c r="F811" s="180"/>
      <c r="G811" s="181"/>
      <c r="H811" s="181"/>
      <c r="I811" s="191"/>
      <c r="J811" s="181"/>
    </row>
    <row r="812" spans="1:10" s="45" customFormat="1" ht="17.25" customHeight="1">
      <c r="A812" s="179" t="s">
        <v>334</v>
      </c>
      <c r="B812" s="180"/>
      <c r="C812" s="180"/>
      <c r="D812" s="180"/>
      <c r="E812" s="180"/>
      <c r="F812" s="180"/>
      <c r="G812" s="181"/>
      <c r="H812" s="181"/>
      <c r="I812" s="191" t="s">
        <v>335</v>
      </c>
      <c r="J812" s="181"/>
    </row>
    <row r="813" spans="1:10" s="45" customFormat="1" ht="17.25" customHeight="1">
      <c r="A813" s="179"/>
      <c r="B813" s="180"/>
      <c r="C813" s="180"/>
      <c r="D813" s="180"/>
      <c r="E813" s="180"/>
      <c r="F813" s="180"/>
      <c r="G813" s="181"/>
      <c r="H813" s="181"/>
      <c r="I813" s="191"/>
      <c r="J813" s="181"/>
    </row>
    <row r="814" spans="1:10" s="45" customFormat="1" ht="17.25" customHeight="1">
      <c r="A814" s="179"/>
      <c r="B814" s="180"/>
      <c r="C814" s="180"/>
      <c r="D814" s="180"/>
      <c r="E814" s="180"/>
      <c r="F814" s="180"/>
      <c r="G814" s="181"/>
      <c r="H814" s="181"/>
      <c r="I814" s="191"/>
      <c r="J814" s="181"/>
    </row>
    <row r="815" spans="1:10" s="45" customFormat="1" ht="15.75">
      <c r="A815" s="179"/>
      <c r="B815" s="180"/>
      <c r="C815" s="180"/>
      <c r="D815" s="180"/>
      <c r="E815" s="180"/>
      <c r="F815" s="180"/>
      <c r="G815" s="181"/>
      <c r="H815" s="181"/>
      <c r="I815" s="191"/>
      <c r="J815" s="181"/>
    </row>
    <row r="816" spans="1:10" s="45" customFormat="1" ht="15.75">
      <c r="A816" s="179" t="s">
        <v>336</v>
      </c>
      <c r="B816" s="180"/>
      <c r="C816" s="180"/>
      <c r="D816" s="180"/>
      <c r="E816" s="180"/>
      <c r="F816" s="180"/>
      <c r="G816" s="181"/>
      <c r="H816" s="181"/>
      <c r="I816" s="191" t="s">
        <v>337</v>
      </c>
      <c r="J816" s="181"/>
    </row>
    <row r="817" spans="1:10" s="45" customFormat="1" ht="15.75">
      <c r="A817" s="179"/>
      <c r="B817" s="180"/>
      <c r="C817" s="180"/>
      <c r="D817" s="180"/>
      <c r="E817" s="180"/>
      <c r="F817" s="180"/>
      <c r="G817" s="181"/>
      <c r="H817" s="181"/>
      <c r="I817" s="191"/>
      <c r="J817" s="181"/>
    </row>
    <row r="818" spans="1:10" s="45" customFormat="1" ht="15.75">
      <c r="A818" s="183"/>
      <c r="B818" s="180"/>
      <c r="C818" s="180"/>
      <c r="D818" s="180"/>
      <c r="E818" s="180"/>
      <c r="F818" s="180"/>
      <c r="G818" s="181"/>
      <c r="H818" s="181"/>
      <c r="I818" s="191"/>
      <c r="J818" s="181"/>
    </row>
    <row r="819" spans="1:10" s="45" customFormat="1" ht="15.75">
      <c r="A819" s="179"/>
      <c r="B819" s="180"/>
      <c r="C819" s="180"/>
      <c r="D819" s="180"/>
      <c r="E819" s="180"/>
      <c r="F819" s="180"/>
      <c r="G819" s="181"/>
      <c r="H819" s="181"/>
      <c r="I819" s="191"/>
      <c r="J819" s="181"/>
    </row>
    <row r="820" spans="1:10" s="45" customFormat="1" ht="15.75">
      <c r="A820" s="184"/>
      <c r="B820" s="180"/>
      <c r="C820" s="180"/>
      <c r="D820" s="180"/>
      <c r="E820" s="180"/>
      <c r="F820" s="180"/>
      <c r="G820" s="181"/>
      <c r="H820" s="181"/>
      <c r="I820" s="191"/>
      <c r="J820" s="181"/>
    </row>
    <row r="821" spans="1:10" ht="12.75">
      <c r="A821" s="184"/>
      <c r="B821" s="182"/>
      <c r="C821" s="182"/>
      <c r="D821" s="182"/>
      <c r="E821" s="182"/>
      <c r="F821" s="182"/>
      <c r="G821" s="31"/>
      <c r="H821" s="31"/>
      <c r="J821" s="31"/>
    </row>
  </sheetData>
  <mergeCells count="7">
    <mergeCell ref="A6:J6"/>
    <mergeCell ref="G3:J3"/>
    <mergeCell ref="G8:G9"/>
    <mergeCell ref="A8:F8"/>
    <mergeCell ref="H8:H9"/>
    <mergeCell ref="I8:I9"/>
    <mergeCell ref="J8:J9"/>
  </mergeCells>
  <printOptions horizontalCentered="1"/>
  <pageMargins left="0.3937007874015748" right="0.24" top="0.47" bottom="0.49" header="0.17" footer="0.1968503937007874"/>
  <pageSetup horizontalDpi="600" verticalDpi="6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Tatyana</cp:lastModifiedBy>
  <cp:lastPrinted>2007-07-16T01:08:39Z</cp:lastPrinted>
  <dcterms:created xsi:type="dcterms:W3CDTF">2004-12-08T01:08:14Z</dcterms:created>
  <dcterms:modified xsi:type="dcterms:W3CDTF">2007-07-21T03:26:33Z</dcterms:modified>
  <cp:category/>
  <cp:version/>
  <cp:contentType/>
  <cp:contentStatus/>
</cp:coreProperties>
</file>