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0" windowWidth="13455" windowHeight="12690" activeTab="0"/>
  </bookViews>
  <sheets>
    <sheet name="На 01.01.2024г." sheetId="1" r:id="rId1"/>
    <sheet name="Лист1" sheetId="2" r:id="rId2"/>
  </sheets>
  <definedNames>
    <definedName name="_xlnm.Print_Titles" localSheetId="0">'На 01.01.2024г.'!$10:$11</definedName>
    <definedName name="_xlnm.Print_Area" localSheetId="0">'На 01.01.2024г.'!$A$1:$I$909</definedName>
  </definedNames>
  <calcPr fullCalcOnLoad="1"/>
</workbook>
</file>

<file path=xl/comments1.xml><?xml version="1.0" encoding="utf-8"?>
<comments xmlns="http://schemas.openxmlformats.org/spreadsheetml/2006/main">
  <authors>
    <author>Щеглова Виктория Александровна</author>
  </authors>
  <commentList>
    <comment ref="G161" authorId="0">
      <text>
        <r>
          <rPr>
            <b/>
            <sz val="9"/>
            <rFont val="Tahoma"/>
            <family val="2"/>
          </rPr>
          <t>Щеглова Виктория Александровна:</t>
        </r>
        <r>
          <rPr>
            <sz val="9"/>
            <rFont val="Tahoma"/>
            <family val="2"/>
          </rPr>
          <t xml:space="preserve">
после уточнения 18.10.23 вернуть на 225/1105</t>
        </r>
      </text>
    </comment>
  </commentList>
</comments>
</file>

<file path=xl/sharedStrings.xml><?xml version="1.0" encoding="utf-8"?>
<sst xmlns="http://schemas.openxmlformats.org/spreadsheetml/2006/main" count="3040" uniqueCount="885">
  <si>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</si>
  <si>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</si>
  <si>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</si>
  <si>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</si>
  <si>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</si>
  <si>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</si>
  <si>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</si>
  <si>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</si>
  <si>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</si>
  <si>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</si>
  <si>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</si>
  <si>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</si>
  <si>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</si>
  <si>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</si>
  <si>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</si>
  <si>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</si>
  <si>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</si>
  <si>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</si>
  <si>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</si>
  <si>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</si>
  <si>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</si>
  <si>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</si>
  <si>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</si>
  <si>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</si>
  <si>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</si>
  <si>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</si>
  <si>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</si>
  <si>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</si>
  <si>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</si>
  <si>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</si>
  <si>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</si>
  <si>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</si>
  <si>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</si>
  <si>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</si>
  <si>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</si>
  <si>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</si>
  <si>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</si>
  <si>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</si>
  <si>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</si>
  <si>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</si>
  <si>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</si>
  <si>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</si>
  <si>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</si>
  <si>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</si>
  <si>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</si>
  <si>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</si>
  <si>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</si>
  <si>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</si>
  <si>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</si>
  <si>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</si>
  <si>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</si>
  <si>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</si>
  <si>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</si>
  <si>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</si>
  <si>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</si>
  <si>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</si>
  <si>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</si>
  <si>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</si>
  <si>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</si>
  <si>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</si>
  <si>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</si>
  <si>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</si>
  <si>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</si>
  <si>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</si>
  <si>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</si>
  <si>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</si>
  <si>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</si>
  <si>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</si>
  <si>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</si>
  <si>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</si>
  <si>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</si>
  <si>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</si>
  <si>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</si>
  <si>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</si>
  <si>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</si>
  <si>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</si>
  <si>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</si>
  <si>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</si>
  <si>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</si>
  <si>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</si>
  <si>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</si>
  <si>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</si>
  <si>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</si>
  <si>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</si>
  <si>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</si>
  <si>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</si>
  <si>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</si>
  <si>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</si>
  <si>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</si>
  <si>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</si>
  <si>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</si>
  <si>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</si>
  <si>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</si>
  <si>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</si>
  <si>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</si>
  <si>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</si>
  <si>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</si>
  <si>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</si>
  <si>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</si>
  <si>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</si>
  <si>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</si>
  <si>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</si>
  <si>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</si>
  <si>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</si>
  <si>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</si>
  <si>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</si>
  <si>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</si>
  <si>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</si>
  <si>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</si>
  <si>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</si>
  <si>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</si>
  <si>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</si>
  <si>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</si>
  <si>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</si>
  <si>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</si>
  <si>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</si>
  <si>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</si>
  <si>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</si>
  <si>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</si>
  <si>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</si>
  <si>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</si>
  <si>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</si>
  <si>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</si>
  <si>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</si>
  <si>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</si>
  <si>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</si>
  <si>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</si>
  <si>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</si>
  <si>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</si>
  <si>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</si>
  <si>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0412</t>
  </si>
  <si>
    <t>406</t>
  </si>
  <si>
    <t>0411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</si>
  <si>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</si>
  <si>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</si>
  <si>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</si>
  <si>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</si>
  <si>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</si>
  <si>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</si>
  <si>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</si>
  <si>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</si>
  <si>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</si>
  <si>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</si>
  <si>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</si>
  <si>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</si>
  <si>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</si>
  <si>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</si>
  <si>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</si>
  <si>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</si>
  <si>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</si>
  <si>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</si>
  <si>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</si>
  <si>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</si>
  <si>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</si>
  <si>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</si>
  <si>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</si>
  <si>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</si>
  <si>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</si>
  <si>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</si>
  <si>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</si>
  <si>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</si>
  <si>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</si>
  <si>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</si>
  <si>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</si>
  <si>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</si>
  <si>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</si>
  <si>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</si>
  <si>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</si>
  <si>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</si>
  <si>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</si>
  <si>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</si>
  <si>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</si>
  <si>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</si>
  <si>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</si>
  <si>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</si>
  <si>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>Содержание городского сайта</t>
  </si>
  <si>
    <t>Противопожарные мероприятия (зарядка огнетушителей)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</si>
  <si>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</si>
  <si>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</si>
  <si>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</si>
  <si>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</si>
  <si>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</si>
  <si>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</si>
  <si>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</si>
  <si>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</si>
  <si>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</si>
  <si>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</si>
  <si>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</si>
  <si>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</si>
  <si>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</si>
  <si>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</si>
  <si>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</si>
  <si>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</si>
  <si>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</si>
  <si>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</si>
  <si>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</si>
  <si>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</si>
  <si>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</si>
  <si>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</si>
  <si>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</si>
  <si>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</si>
  <si>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</si>
  <si>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</si>
  <si>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</si>
  <si>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</si>
  <si>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</si>
  <si>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</si>
  <si>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</si>
  <si>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</si>
  <si>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</si>
  <si>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</si>
  <si>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</si>
  <si>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Другие расходы по содержанию имущества, в т.ч: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</si>
  <si>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</si>
  <si>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</si>
  <si>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</si>
  <si>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1124</t>
  </si>
  <si>
    <t>Текущий ремонт оборудования (оргтехники)</t>
  </si>
  <si>
    <t>Подписка периодические и справочные издания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</si>
  <si>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</si>
  <si>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</si>
  <si>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</si>
  <si>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</si>
  <si>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</si>
  <si>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</si>
  <si>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</si>
  <si>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</si>
  <si>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</si>
  <si>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</si>
  <si>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</si>
  <si>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</si>
  <si>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</si>
  <si>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</si>
  <si>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</si>
  <si>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</si>
  <si>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</si>
  <si>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</si>
  <si>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</si>
  <si>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</si>
  <si>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</si>
  <si>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</si>
  <si>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</si>
  <si>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</si>
  <si>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</si>
  <si>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</si>
  <si>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</si>
  <si>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</si>
  <si>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</si>
  <si>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</si>
  <si>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</si>
  <si>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</si>
  <si>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</si>
  <si>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</si>
  <si>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</si>
  <si>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</si>
  <si>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</si>
  <si>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</si>
  <si>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</si>
  <si>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</si>
  <si>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</si>
  <si>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</si>
  <si>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</si>
  <si>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>КУЛЬТУРА</t>
  </si>
  <si>
    <t>Услуги по страхованию муниципального имущества</t>
  </si>
  <si>
    <t>1135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</si>
  <si>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</si>
  <si>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</si>
  <si>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</si>
  <si>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</si>
  <si>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</si>
  <si>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</si>
  <si>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</si>
  <si>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</si>
  <si>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</si>
  <si>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</si>
  <si>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</si>
  <si>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</si>
  <si>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</si>
  <si>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</si>
  <si>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</si>
  <si>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</si>
  <si>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</si>
  <si>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</si>
  <si>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</si>
  <si>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</si>
  <si>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</si>
  <si>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</si>
  <si>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</si>
  <si>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</si>
  <si>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</si>
  <si>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</si>
  <si>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</si>
  <si>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</si>
  <si>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</si>
  <si>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</si>
  <si>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</si>
  <si>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</si>
  <si>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Закупка товаров, работ, услуг для муниципальных нужд</t>
  </si>
  <si>
    <t>Проведение оценки муниципального имущества</t>
  </si>
  <si>
    <t>9950071100</t>
  </si>
  <si>
    <t>9950091002</t>
  </si>
  <si>
    <t>Услуги по содержанию муниципального имущества (объекты муниципальной собственности)</t>
  </si>
  <si>
    <t>Коммунальные услуги, в т.ч.: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</si>
  <si>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</si>
  <si>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</si>
  <si>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</si>
  <si>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</si>
  <si>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</si>
  <si>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</si>
  <si>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</si>
  <si>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</si>
  <si>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</si>
  <si>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</si>
  <si>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</si>
  <si>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Субвенция на государственную регистрацию актов гражданского состояния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</si>
  <si>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</si>
  <si>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</si>
  <si>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Субсидии некоммерческим организациям</t>
  </si>
  <si>
    <t>Содержание муниципальных дорог (зимнее и летнее)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</si>
  <si>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</si>
  <si>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</si>
  <si>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Управление земельными ресурсами</t>
  </si>
  <si>
    <t>Перечисление взносов на капитальный ремонт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</si>
  <si>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</si>
  <si>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</si>
  <si>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</si>
  <si>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</si>
  <si>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</si>
  <si>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</si>
  <si>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6980062100</t>
  </si>
  <si>
    <t>Текущий ремонт объектов благоустройства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</si>
  <si>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</si>
  <si>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</si>
  <si>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Выплата премий, грантов, учащимся</t>
  </si>
  <si>
    <t>Приобретение сувенирной продукции и цветов</t>
  </si>
  <si>
    <t>Приобретение сувенирной, подарочной продукции</t>
  </si>
  <si>
    <t>Приобретение товаров, работ, услуг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</si>
  <si>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</si>
  <si>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</si>
  <si>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</si>
  <si>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Оплата услуг питания для детей из группы продленного дня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</si>
  <si>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</si>
  <si>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</si>
  <si>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</si>
  <si>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</si>
  <si>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9950091001</t>
  </si>
  <si>
    <t>Межбюджетные трансферты</t>
  </si>
  <si>
    <t>9960000000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</si>
  <si>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</si>
  <si>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</si>
  <si>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</si>
  <si>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</si>
  <si>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</si>
  <si>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</si>
  <si>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</si>
  <si>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Приобретение сувенирной продукции </t>
  </si>
  <si>
    <t>698006210С</t>
  </si>
  <si>
    <t>9950091017</t>
  </si>
  <si>
    <t>853</t>
  </si>
  <si>
    <t>9950091012</t>
  </si>
  <si>
    <t>313</t>
  </si>
  <si>
    <t>Командировочные расходы</t>
  </si>
  <si>
    <t>1130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</si>
  <si>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</si>
  <si>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</si>
  <si>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</si>
  <si>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</si>
  <si>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</si>
  <si>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</si>
  <si>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</si>
  <si>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</si>
  <si>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</si>
  <si>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</si>
  <si>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</si>
  <si>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</si>
  <si>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</si>
  <si>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</si>
  <si>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812</t>
  </si>
  <si>
    <t>Оплата по соглашению (передача полномочий по библиотекам)</t>
  </si>
  <si>
    <t>Фактические расходы</t>
  </si>
  <si>
    <t>2740010010</t>
  </si>
  <si>
    <t>2220010050</t>
  </si>
  <si>
    <t>9950011020</t>
  </si>
  <si>
    <t>2320010010</t>
  </si>
  <si>
    <t>2320010090</t>
  </si>
  <si>
    <t>Приобретение продуктов питания</t>
  </si>
  <si>
    <t>811</t>
  </si>
  <si>
    <t>9950091019</t>
  </si>
  <si>
    <t>296</t>
  </si>
  <si>
    <t>291</t>
  </si>
  <si>
    <t>0804</t>
  </si>
  <si>
    <t>292</t>
  </si>
  <si>
    <t>ремонт автомобиля</t>
  </si>
  <si>
    <t xml:space="preserve">0203 </t>
  </si>
  <si>
    <t>9950071020</t>
  </si>
  <si>
    <t>Асфальтированин придомовых территоий ФБ,РБ</t>
  </si>
  <si>
    <t>МП "Развитие кадрового потенциала в МО "Город Удачный"</t>
  </si>
  <si>
    <t>1119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</si>
  <si>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</si>
  <si>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</si>
  <si>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</si>
  <si>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</si>
  <si>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</si>
  <si>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</si>
  <si>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</si>
  <si>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</si>
  <si>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</si>
  <si>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</si>
  <si>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</si>
  <si>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129</t>
  </si>
  <si>
    <t>266</t>
  </si>
  <si>
    <t>341</t>
  </si>
  <si>
    <t>344</t>
  </si>
  <si>
    <t xml:space="preserve">Услуги по перевозке пассажиров автомобильным транспортом </t>
  </si>
  <si>
    <t xml:space="preserve">Оплата транспортных услуг </t>
  </si>
  <si>
    <t xml:space="preserve">Прочие выплаты   </t>
  </si>
  <si>
    <t>225 (19-Г86-00002)</t>
  </si>
  <si>
    <t>1127</t>
  </si>
  <si>
    <t>263</t>
  </si>
  <si>
    <t>Повышение квалификации</t>
  </si>
  <si>
    <t>Ремонт оборудования (оргтехники)</t>
  </si>
  <si>
    <t>870</t>
  </si>
  <si>
    <t>Транспортные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</si>
  <si>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</si>
  <si>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</si>
  <si>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</si>
  <si>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>232F255550</t>
  </si>
  <si>
    <t>Установка сервера</t>
  </si>
  <si>
    <t>Оплата нахождения в служебных командировках (суточные)</t>
  </si>
  <si>
    <t>Оплата пребывания в служебных командировках (проезд, возмещение проживания)</t>
  </si>
  <si>
    <t>293</t>
  </si>
  <si>
    <t>310 МБ Ковид</t>
  </si>
  <si>
    <t>346 МБКовид</t>
  </si>
  <si>
    <t>Оплата медосмотров</t>
  </si>
  <si>
    <t>Резервный фонд</t>
  </si>
  <si>
    <t>0111</t>
  </si>
  <si>
    <t>Приобретение мягкого инвентаря</t>
  </si>
  <si>
    <t>341 МБ Ковид</t>
  </si>
  <si>
    <t>345 МБ ковид</t>
  </si>
  <si>
    <t>Услуги по содерданию имущества</t>
  </si>
  <si>
    <t>Прочие расходы (Резервный Фонд)</t>
  </si>
  <si>
    <t>Оплата электроэнергии</t>
  </si>
  <si>
    <t>уборка служебных помещений</t>
  </si>
  <si>
    <t>Стирка штор, флагов</t>
  </si>
  <si>
    <t>Вывоз мусора и утилизация мусора (объекты администрации)</t>
  </si>
  <si>
    <t>Оказание услуг по проведению предрейсовго осмотра автомобилей</t>
  </si>
  <si>
    <t>Техническое обслуживание средств ПС и ОПС (здание администрации)</t>
  </si>
  <si>
    <t>Содержание объектов муниципальной собственности</t>
  </si>
  <si>
    <t>Технический осмотр автомобилей (ежегодный)</t>
  </si>
  <si>
    <t>Техническое сопровождение ПО VipNetClient</t>
  </si>
  <si>
    <t>Электронно-цифровая подпись</t>
  </si>
  <si>
    <t>Право использования программы для ЭВМ "Контур-Экстерн"</t>
  </si>
  <si>
    <t xml:space="preserve">Оказание технического и консультационного обслуживания программных продуктов "1С" </t>
  </si>
  <si>
    <t>Передача неисключительных прав использования электронной системы "Госфинансы"</t>
  </si>
  <si>
    <t>Услуги по медицинскому осмотру водителей</t>
  </si>
  <si>
    <t>Услуги по договорам гражданско-правового характера</t>
  </si>
  <si>
    <t>Услуги диспанзарищации (медицинские осмотры работников)</t>
  </si>
  <si>
    <t xml:space="preserve">Прочие материальные запаса </t>
  </si>
  <si>
    <t>Содержание в чистоте помещений, зданий, дворов, иного имущества, содеражание объектов муниципальной собственности</t>
  </si>
  <si>
    <t>Содержание объектов муниципальной собственности (уборка помещений)</t>
  </si>
  <si>
    <t>Приобретение информационных услуг</t>
  </si>
  <si>
    <t>Приобретение информационных технологий</t>
  </si>
  <si>
    <t>Приобретение услуг связи</t>
  </si>
  <si>
    <t>9950091008</t>
  </si>
  <si>
    <t>Заработная плата (за счет МБ)</t>
  </si>
  <si>
    <t>99 5 00 91019</t>
  </si>
  <si>
    <t>247</t>
  </si>
  <si>
    <t>Организация пассажирских перевозок</t>
  </si>
  <si>
    <t>297</t>
  </si>
  <si>
    <t>Оплата выезда из РКС</t>
  </si>
  <si>
    <t>265</t>
  </si>
  <si>
    <t>Услуги по сбору и утилизации техники и материалов, пришедших в негодность</t>
  </si>
  <si>
    <t>Выплата суточных за счет МБ</t>
  </si>
  <si>
    <t>Транспортные услуги (оплата проезда в учебный отпуск)</t>
  </si>
  <si>
    <t>Оплата проезда в учебный отпуск</t>
  </si>
  <si>
    <t>1710062770</t>
  </si>
  <si>
    <t>Субсидия на деятельность ДНД (за счет средств бюджета РС (Я)</t>
  </si>
  <si>
    <t>Софинансирование на деятельность ДНД (за счет средств МБ)</t>
  </si>
  <si>
    <t>17100S2770</t>
  </si>
  <si>
    <t>Начисления на выплаты по оплате труда (за счет МБ)</t>
  </si>
  <si>
    <t>312</t>
  </si>
  <si>
    <t>Проведение муниципальных выборов</t>
  </si>
  <si>
    <t>Выборы главы</t>
  </si>
  <si>
    <t>Выборы депутатов</t>
  </si>
  <si>
    <t>9930010010</t>
  </si>
  <si>
    <t>9930010020</t>
  </si>
  <si>
    <t>880</t>
  </si>
  <si>
    <t xml:space="preserve">Муниципальная  программа  «Ремонт и содержание объектов муниципального имущества МО "Город Удачный" на 2022 - 2026 годы" </t>
  </si>
  <si>
    <t xml:space="preserve">Муниципальная  программа  «Управление муниципальным имуществом МО "Город Удачный" на 2022 - 2026 годы"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</si>
  <si>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части здравоохранения)                </t>
  </si>
  <si>
    <t>Услуги по охране имущества</t>
  </si>
  <si>
    <t>1149 ПРЕД.</t>
  </si>
  <si>
    <t>Прочие расходы (Уплата членских взносов АСДГ, Совет МО)</t>
  </si>
  <si>
    <t>Муниципальная  программа "Обеспечение  безопасности жизнедеятельности населения  на 2022 - 2026 годы"</t>
  </si>
  <si>
    <t>0314</t>
  </si>
  <si>
    <t>Выплата денежного поощрения (премии)</t>
  </si>
  <si>
    <t>Обслуживание видеонаблюдения</t>
  </si>
  <si>
    <t>1132</t>
  </si>
  <si>
    <t>Муниципальная  программа "Комплексное развитие транспортной  инфраструктуры муниципального образования «Город Удачный» на 2022-2026 годы"</t>
  </si>
  <si>
    <t xml:space="preserve">Муниципальная программа «Развитие малого и среднего предпринимательства в МО «Город Удачный» на 2022-2026 годы» </t>
  </si>
  <si>
    <t>9000</t>
  </si>
  <si>
    <t>ЖИЛИЩНОЕ ХОЗЯЙСТВО</t>
  </si>
  <si>
    <t>БЛАГОУСТРОЙСТВО</t>
  </si>
  <si>
    <t xml:space="preserve">Муниципальная  программа «Энергосбережение и повышение энергетической эффективности МО «Город Удачный»  на 2022-2026 годы» </t>
  </si>
  <si>
    <t>Муниципальная целевая программа «Комплексное благоустройство территории МО "Город Удачный"на 2022-2026 годы</t>
  </si>
  <si>
    <t>Содержание уличного освещения</t>
  </si>
  <si>
    <t>Содержание объектов уличного освещения</t>
  </si>
  <si>
    <t>Муниципальная программа «Формирование комфортной городской среды МО «Город Удачный»  на 2018-2024 годы»</t>
  </si>
  <si>
    <t>Прочие услуги по благоустройству территории (за счет МБ)</t>
  </si>
  <si>
    <t>Прочие услуги по благоустройству территории (за счет ГБ)</t>
  </si>
  <si>
    <t xml:space="preserve"> Муниципальная  программа "Организация и осуществление мероприятий по работе с детьми и молодежью  на 2022– 2026 годы" </t>
  </si>
  <si>
    <t xml:space="preserve">Муниципальная  программа "Развитие культурного пространства на территории МО "Город Удачный" на 2021-2026 годы" 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</si>
  <si>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социальной защиты)                </t>
  </si>
  <si>
    <t xml:space="preserve">Муниципальная программа "Обеспечение граждан доступным и комфортным жильем на 2022-2026 годы </t>
  </si>
  <si>
    <t xml:space="preserve">Муниципальная  программа "Развитие физической культуры и спорта на  2022-2026 годы" </t>
  </si>
  <si>
    <t>Право на использование программы НаноКад, КонтурЭкстерн</t>
  </si>
  <si>
    <t>Приобретение ОС</t>
  </si>
  <si>
    <t>Оплата отопления</t>
  </si>
  <si>
    <t>Оплата водоснабжения холодного</t>
  </si>
  <si>
    <t>Оплата сточных вод</t>
  </si>
  <si>
    <t>Услуги по обслуживанию и ремонту оборудования теплоузлов</t>
  </si>
  <si>
    <t>7000</t>
  </si>
  <si>
    <t>1000</t>
  </si>
  <si>
    <t>1001</t>
  </si>
  <si>
    <t>Оплата услуг холодного водоснабжения, подвоз воды</t>
  </si>
  <si>
    <t>Оплата услуг горячего водоснабжения</t>
  </si>
  <si>
    <t>Оплата услуг  холодного водоснабжения, подвоз воды</t>
  </si>
  <si>
    <t>Оплата услуг  горячего водоснабжения</t>
  </si>
  <si>
    <t>Оплата водоснабжения горячего</t>
  </si>
  <si>
    <t>Прочие</t>
  </si>
  <si>
    <t>Содержание дорог (МБ)</t>
  </si>
  <si>
    <t>Обслуживание оргтехники</t>
  </si>
  <si>
    <t xml:space="preserve">Разработка ПСД на проведение кап.ремонта, в т.ч. </t>
  </si>
  <si>
    <t>Проведение текущего ремонта, в т.ч</t>
  </si>
  <si>
    <t>Отклонение</t>
  </si>
  <si>
    <t>Ремонт дорог (АК АЛРОСА)</t>
  </si>
  <si>
    <t>КОММУНАЛЬНОЕ ХОЗЯЙСТВО</t>
  </si>
  <si>
    <t>0502</t>
  </si>
  <si>
    <t>Услуги по установке приборов учета в муниципальном жилом фонде</t>
  </si>
  <si>
    <t>0310</t>
  </si>
  <si>
    <t>Прочие услуги (МБ), в т.ч.</t>
  </si>
  <si>
    <t>Прочие улуги Финансирование АК АЛРОСА, в т.ч.</t>
  </si>
  <si>
    <t>Прочие улуги Финансирование Район, в т.ч.</t>
  </si>
  <si>
    <t>Приобретение основных средств, в т.ч.</t>
  </si>
  <si>
    <t>Приобретение прочих материальных запасов, в т.ч.</t>
  </si>
  <si>
    <t>Возмещение затрат по установке общедомовых приборов учета в МКД</t>
  </si>
  <si>
    <t>Реализация на территории РС (Якутия) проектов развития общественной инфраструктуры, основанных на местых инициативах (за счет средств АК АЛРОСА)</t>
  </si>
  <si>
    <t>1145</t>
  </si>
  <si>
    <t>Организация Вай Фая на центральной площади</t>
  </si>
  <si>
    <t>Капитальный ремонт муниципального имущества (АК АЛРОСА), в т.ч.</t>
  </si>
  <si>
    <t>Безвозмездные перечисления юр. и физическим лицам (получение грантов)</t>
  </si>
  <si>
    <t>Разработка ПСД на капитальный ремонт (АК АЛРОСА)</t>
  </si>
  <si>
    <t>Приобретение лекарств</t>
  </si>
  <si>
    <t>831</t>
  </si>
  <si>
    <t>Установка приборов учета (Объекты нежилого муниципального фонда РУС)</t>
  </si>
  <si>
    <t>Льготный проезд в городском транспорте</t>
  </si>
  <si>
    <t xml:space="preserve">Проведение ремонта муниципального жилого фонда </t>
  </si>
  <si>
    <t>проведение специальной оценки условий труда</t>
  </si>
  <si>
    <t>Проезд в отпуск</t>
  </si>
  <si>
    <t>Выполнение прочих услуг</t>
  </si>
  <si>
    <t>9950059300</t>
  </si>
  <si>
    <t>295</t>
  </si>
  <si>
    <t>7430010030</t>
  </si>
  <si>
    <t>Приобретение лекарственных средств</t>
  </si>
  <si>
    <t>7330010002</t>
  </si>
  <si>
    <t>7330010003</t>
  </si>
  <si>
    <t>7330010007</t>
  </si>
  <si>
    <t>Прочие расходы, в т.ч.</t>
  </si>
  <si>
    <t>5430010003</t>
  </si>
  <si>
    <t>6430010040</t>
  </si>
  <si>
    <t>6430010050</t>
  </si>
  <si>
    <t>6730069360</t>
  </si>
  <si>
    <t>6030010030</t>
  </si>
  <si>
    <t>Разработка комплексной схемы организации дорожного движения</t>
  </si>
  <si>
    <t>693001000Г</t>
  </si>
  <si>
    <t>7330010020</t>
  </si>
  <si>
    <t>Прочие услуги (МБ)</t>
  </si>
  <si>
    <t>6130010020</t>
  </si>
  <si>
    <t>6130010060</t>
  </si>
  <si>
    <t>Субсидия на проведение мероприятий, с целью обеспечения функционирования объекта ком.инфраструктуры (городской коллектор)</t>
  </si>
  <si>
    <t>6130010061</t>
  </si>
  <si>
    <t>Приобретение светильников</t>
  </si>
  <si>
    <t>63300100003</t>
  </si>
  <si>
    <t>6330010004</t>
  </si>
  <si>
    <t>6330010006</t>
  </si>
  <si>
    <t>Содержание и капитальный ремонт дворовых территорий</t>
  </si>
  <si>
    <t>6330010008</t>
  </si>
  <si>
    <t>На проведение кап.ремонта придомовой территориии МКД №23 (МБТ района)</t>
  </si>
  <si>
    <t>На проведение кап.ремонта придомовой территориии МКД №23 (софинансирование МБ)</t>
  </si>
  <si>
    <t>6330010009</t>
  </si>
  <si>
    <t>Благоустройство территоии общего пользования с мероприятиями по отводу сточных вод (МКД 33 до МКД 11)</t>
  </si>
  <si>
    <t>9950091011</t>
  </si>
  <si>
    <t>5230010001</t>
  </si>
  <si>
    <t>5030010000</t>
  </si>
  <si>
    <t>503001000</t>
  </si>
  <si>
    <t>Организация поездок на культурно-массовые мероприятия</t>
  </si>
  <si>
    <t>5540071020</t>
  </si>
  <si>
    <t>Приобретение основных средств (АК АЛРОСА)</t>
  </si>
  <si>
    <t>Приобретение средств по уходу для больных (инвалидов)</t>
  </si>
  <si>
    <t>Выплата материальной помощи</t>
  </si>
  <si>
    <t>61300S4702</t>
  </si>
  <si>
    <t>Организация прочих услуг</t>
  </si>
  <si>
    <t>631F255550</t>
  </si>
  <si>
    <t>МП "Ремонты и содержание муниципального имущества (ремонт здания администрации) (оплата за 2022 год)</t>
  </si>
  <si>
    <t>Приобретение звукового оборудования (Договор за 2022год)</t>
  </si>
  <si>
    <t>Приобретение сувенирной и подарочной продукции продукции, в т.ч.</t>
  </si>
  <si>
    <t>Поставка цветов</t>
  </si>
  <si>
    <t>6330010003</t>
  </si>
  <si>
    <t>Оформление технической документации, в т.ч.</t>
  </si>
  <si>
    <t>Прочее</t>
  </si>
  <si>
    <t>Изготовление технических планов</t>
  </si>
  <si>
    <t>Приобретение часов</t>
  </si>
  <si>
    <t>Предоставление услуг  по предоставлению доступа и сопровождению справочно-правовой системы (Консультант Плюс)</t>
  </si>
  <si>
    <t xml:space="preserve">Приобретение прочих материальных запасов, в т.ч. </t>
  </si>
  <si>
    <t>Приобретение бумаги</t>
  </si>
  <si>
    <t>Приобретение моющих средств</t>
  </si>
  <si>
    <t>Канцелярские принадлежности</t>
  </si>
  <si>
    <t>Хозяйственные расходы</t>
  </si>
  <si>
    <t>Запчасти и расходные материалы для авто</t>
  </si>
  <si>
    <t>Приобретение основных средств (оплата договора за 2022 год)</t>
  </si>
  <si>
    <t>Приобретение расходных материалов, в т.ч.</t>
  </si>
  <si>
    <t>оплата договора за 2022 год</t>
  </si>
  <si>
    <t>Оплата питания ГПД</t>
  </si>
  <si>
    <t>Подарочные сертификаты</t>
  </si>
  <si>
    <t>Студенческие отряды</t>
  </si>
  <si>
    <t xml:space="preserve">Денежные выплаты </t>
  </si>
  <si>
    <t>Выплаты почетным гражданам</t>
  </si>
  <si>
    <t>5730010000</t>
  </si>
  <si>
    <t>Выполнение работ по инженерно-геологическим изысканиям по объекту МКД 23</t>
  </si>
  <si>
    <t>Разработка ПСД на проведение кап.ремонта, МКД 23</t>
  </si>
  <si>
    <t>Выполнение работ по инженерно-геофизическим изысканиям по объекту МКД 23</t>
  </si>
  <si>
    <t xml:space="preserve">Прочие работы для   проведения кап.ремонта, в т.ч. </t>
  </si>
  <si>
    <t>Выполнение работ по визуальному обследованию МКД 23</t>
  </si>
  <si>
    <t>Выполнение камеральных и лабораторных работ по МКД 23</t>
  </si>
  <si>
    <t>Обновление программы Гранд-Смета</t>
  </si>
  <si>
    <t xml:space="preserve">Услуги телекоммуникационные  по обслуживанию программы "Смарт-бюджет" </t>
  </si>
  <si>
    <t>Услуги по защите автоматизированного раб.места</t>
  </si>
  <si>
    <t>Прочие мероприятия</t>
  </si>
  <si>
    <t>Услуги по обслуживанию ТВС и К</t>
  </si>
  <si>
    <t>Услуги по обслуживанию системы ТВС и К</t>
  </si>
  <si>
    <t>Ремонт помещения общ.6/2 кв.130</t>
  </si>
  <si>
    <t>оценка 1 кв.м жилого фонда</t>
  </si>
  <si>
    <t>6130010010</t>
  </si>
  <si>
    <t>Приобретение прочих расходных материалов, в т.ч.:</t>
  </si>
  <si>
    <t>приобретение аккамуляторов (за 2022 год)</t>
  </si>
  <si>
    <t>Оплата услуг связи</t>
  </si>
  <si>
    <t>Поставка рамок оформительских</t>
  </si>
  <si>
    <t>Приобретение жалюзи (оплата за 2022 год)</t>
  </si>
  <si>
    <t xml:space="preserve">Приобретение ОС </t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</si>
  <si>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Пожарная безопасность, чрезвычайные ситуации)</t>
    </r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</si>
  <si>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в области национальной безопасности и правоохранительной деятельности</t>
    </r>
    <r>
      <rPr>
        <b/>
        <sz val="11.5"/>
        <color indexed="8"/>
        <rFont val="Times New Roman"/>
        <family val="1"/>
      </rPr>
      <t>)</t>
    </r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</si>
  <si>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в части содежания животных</t>
    </r>
    <r>
      <rPr>
        <b/>
        <sz val="11.5"/>
        <color indexed="8"/>
        <rFont val="Times New Roman"/>
        <family val="1"/>
      </rPr>
      <t>)</t>
    </r>
  </si>
  <si>
    <t>Обеспечение благоустройства дворовых территорий</t>
  </si>
  <si>
    <t>6330010020</t>
  </si>
  <si>
    <t>6430010030</t>
  </si>
  <si>
    <t>Поставка чооронов</t>
  </si>
  <si>
    <t>Приобретение телевизоров</t>
  </si>
  <si>
    <t>Приобретение уличных тренажеров</t>
  </si>
  <si>
    <t>Поставка гирлянды для возложения</t>
  </si>
  <si>
    <t xml:space="preserve">Техническое обслуживание авто </t>
  </si>
  <si>
    <t>Услуги шиномонтажа</t>
  </si>
  <si>
    <t>Подарочная продукция со светоотраж.элементами</t>
  </si>
  <si>
    <t>Содержание имущества</t>
  </si>
  <si>
    <t xml:space="preserve"> </t>
  </si>
  <si>
    <t>Поставка пиротехнических изделий</t>
  </si>
  <si>
    <t>Приобретение канц.наборов</t>
  </si>
  <si>
    <t>Поставка подарочных наборов</t>
  </si>
  <si>
    <t>Подарочные наборы</t>
  </si>
  <si>
    <t>Канцелярские принадлежности (подарочные наборы)</t>
  </si>
  <si>
    <t>Оплата за 2022 год</t>
  </si>
  <si>
    <t>Приобретение комплектующих</t>
  </si>
  <si>
    <t>Приобретение материальных запасов (комплектующие к оргтехнике), в т.ч</t>
  </si>
  <si>
    <t>Разработка проекта по ремонту администрации (актуализация)</t>
  </si>
  <si>
    <t>6430010060</t>
  </si>
  <si>
    <t>Приобретение автобусов для мун.перевозок (доля софинансирования из МБ)</t>
  </si>
  <si>
    <t>Разработка ПСД на капитальный ремонт (Бюджет района)</t>
  </si>
  <si>
    <t>6030010020</t>
  </si>
  <si>
    <t>Капитальный ремонт (за счет АК АЛРОСА)</t>
  </si>
  <si>
    <t>Капитальный ремонт за счет МБ</t>
  </si>
  <si>
    <t>7330010024</t>
  </si>
  <si>
    <t>813</t>
  </si>
  <si>
    <t>245</t>
  </si>
  <si>
    <r>
      <t>Субсидия на проведение мероприятий, с целью обеспечения функционирования объекта ком.инфраструктуры (городской коллектор) (</t>
    </r>
    <r>
      <rPr>
        <b/>
        <sz val="11"/>
        <rFont val="Arial"/>
        <family val="2"/>
      </rPr>
      <t>за счет средств АК АЛРОСА 2023г.</t>
    </r>
    <r>
      <rPr>
        <sz val="11"/>
        <rFont val="Arial"/>
        <family val="2"/>
      </rPr>
      <t>)</t>
    </r>
  </si>
  <si>
    <t>9950091009</t>
  </si>
  <si>
    <t>Актуализация схем теплоснабжения, водоснабжения, электроснабжения</t>
  </si>
  <si>
    <t>Закуп семян, газонной травы, кашпо</t>
  </si>
  <si>
    <t>Выплата денежных поощрений тренерам (за счет средств АК АЛРОСА)</t>
  </si>
  <si>
    <t>Услуги по проведению санитарной экспертизы (за 2022 год)</t>
  </si>
  <si>
    <t>Текущий ремонт фасада здания переходной галереи (2022 год)</t>
  </si>
  <si>
    <t>Возмещение затрат по содержанию и эксплуатации жилищного фонда, (в т.ч. И за 2022 год)</t>
  </si>
  <si>
    <t>Разработка плана действий по предупреждению и ликвидации последствий ЧС (за 2022)</t>
  </si>
  <si>
    <t>Оплата по договорам за 2022 год</t>
  </si>
  <si>
    <t xml:space="preserve">Разработка Ген.плана (софинансирование района) </t>
  </si>
  <si>
    <t xml:space="preserve">Разработка Ген.плана (софинансирование поселения) </t>
  </si>
  <si>
    <t>Услуги по установке приборов учета в муниципальном жилом фонде (за 2022 год)</t>
  </si>
  <si>
    <t>Монтаж и наладка оборудования в РУСе (Диспетчеризация в РУСе за 2022 год)</t>
  </si>
  <si>
    <t>Замена распределительного коллектора в здании РУС (за 2022 год)</t>
  </si>
  <si>
    <t>Инженерно-геодезические изыскания (благоустройство двора МКД 31 договор за 2022 год)</t>
  </si>
  <si>
    <t>Разработка ПСД Благоустройство площади к 60-летию Победы (за 2022 год)</t>
  </si>
  <si>
    <t>Гирлянда хвойная (за 2022 год)</t>
  </si>
  <si>
    <t>Нераспределенные  услуги ( в т.ч. Незаселенное жилье)</t>
  </si>
  <si>
    <t>Проведение мероприятий по диагностике автомобильных дорог</t>
  </si>
  <si>
    <t>Приобретение клюшек</t>
  </si>
  <si>
    <t>Благоустройство территории МКД № 14 (с мероприятиями по отводу сточных вод)</t>
  </si>
  <si>
    <t>Благоустройство дворовых территорий за счет АК АЛРОСА, в т.ч.</t>
  </si>
  <si>
    <t>Благоустройство дворовых территорий за счет МБ, в т.ч.</t>
  </si>
  <si>
    <t>Организация лыжной трассы</t>
  </si>
  <si>
    <t>Расходы по повышению квалификации</t>
  </si>
  <si>
    <t>Приобретение увлажнителей воздуха</t>
  </si>
  <si>
    <t>Поставка флажной продукции</t>
  </si>
  <si>
    <t>Закуп табличек на площадки</t>
  </si>
  <si>
    <t>Приобретение флажной продукции</t>
  </si>
  <si>
    <t>приобретение мебели</t>
  </si>
  <si>
    <t>Приобретение спортивного оборудования</t>
  </si>
  <si>
    <t>Приобретение подарочных наборов (Почетный гражданин)</t>
  </si>
  <si>
    <t>Приобретение сувенирной продукции (медали, бутылки)</t>
  </si>
  <si>
    <t>Приобретение полотенец (Подарочные наборы)</t>
  </si>
  <si>
    <t>5530010100</t>
  </si>
  <si>
    <t>Возмещение расходов, связанных с проездом в студенческий отпуск</t>
  </si>
  <si>
    <t>МБТ района на "Охрану окружающей среды, утилизацию и переработку отходов", в т.ч.</t>
  </si>
  <si>
    <t>На проведение работ по ликвидации мест насакцианированного размещения отходов металлолома</t>
  </si>
  <si>
    <t>Установка входных дверей в здании РУС</t>
  </si>
  <si>
    <t>Выполнение работ по шлифовке букв (центральная площадь)</t>
  </si>
  <si>
    <t>Разработка паспорта безопасности территории МО</t>
  </si>
  <si>
    <t>Разработка плана  по гражданской обороне</t>
  </si>
  <si>
    <t>Справочная система госзаказ</t>
  </si>
  <si>
    <t>6330062650</t>
  </si>
  <si>
    <t>63300S2651</t>
  </si>
  <si>
    <t>54300S2770</t>
  </si>
  <si>
    <t>Изготовление технических паспортов</t>
  </si>
  <si>
    <t>Капитальный ремонт дороги (участок в районе УГОК)</t>
  </si>
  <si>
    <t>Приобретение сувенирной продукции (упаковка )</t>
  </si>
  <si>
    <t>Подарочный набор с нанесением логотипа, футболки</t>
  </si>
  <si>
    <t>Приобретение ежедневников</t>
  </si>
  <si>
    <t>Приобретение папок</t>
  </si>
  <si>
    <t>Приобретение пакетов сувенирных</t>
  </si>
  <si>
    <t>ООО Советник ПРОф (инфоомационная система)</t>
  </si>
  <si>
    <t>Приобретение траурных венков для возложения к мемориалу Защитникам Отечества</t>
  </si>
  <si>
    <t>5430062770</t>
  </si>
  <si>
    <t>Приобретение плит электрических для мун.жилфонда</t>
  </si>
  <si>
    <t>Приобретение унитазов, раковин для мун. жилого фонда</t>
  </si>
  <si>
    <t>Ремонт МКД № 23</t>
  </si>
  <si>
    <t>Приобретение цепей</t>
  </si>
  <si>
    <t>Приобретение табличек на площадки ТКО</t>
  </si>
  <si>
    <t>Приобретение ограждения на центральную площадь</t>
  </si>
  <si>
    <t>Приобретение стендов</t>
  </si>
  <si>
    <t>Приобретение лавочек и урн</t>
  </si>
  <si>
    <t>Приобретение металлических конструкций</t>
  </si>
  <si>
    <t>Благоустройство территории в районе СОШ № 19</t>
  </si>
  <si>
    <t>Установка (замена) креплений цепей на качелях (Центральная площадь)</t>
  </si>
  <si>
    <t>Приобретение стелажей</t>
  </si>
  <si>
    <t>1133</t>
  </si>
  <si>
    <t>Монтаж систем на центральной площади</t>
  </si>
  <si>
    <t>монтаж аккустической системы на ЦП</t>
  </si>
  <si>
    <t>Организация проведения утренних зарядок</t>
  </si>
  <si>
    <t>Монтаж стендов, ограждений</t>
  </si>
  <si>
    <t>Софинансирование установки арт-объекта</t>
  </si>
  <si>
    <t>Изготовление банеров (для Ысыха)</t>
  </si>
  <si>
    <t xml:space="preserve">Услуги телекоммуникационные  по обслуживанию программы "Смарт-собственность" </t>
  </si>
  <si>
    <t>Приобретение сувенирной продукции в национальном стиле</t>
  </si>
  <si>
    <t>Поставка сувенирной продукции (Керамогранит)</t>
  </si>
  <si>
    <t>Оплата поездок на конкурсы</t>
  </si>
  <si>
    <t>Оплата поездки на Ысыах районный</t>
  </si>
  <si>
    <t>Проведение экспертизы сметной стоимости "Кап.ремонт по объектам мун.собственности"</t>
  </si>
  <si>
    <t>6130010030</t>
  </si>
  <si>
    <t>Выполнение работ по изготовлению актов обследования и справок о сносе для снятия с гос.кадастрового учета и прекращения права собственности</t>
  </si>
  <si>
    <t>Разработка рабочей документации "Сезонный водопровод"</t>
  </si>
  <si>
    <t>Содержание муниципального жилого фонда</t>
  </si>
  <si>
    <t>Организация выступления Шоу-группы на выпускной</t>
  </si>
  <si>
    <t>Приобретение флагов</t>
  </si>
  <si>
    <t>Пошив флагов</t>
  </si>
  <si>
    <t>Проведение нациоального праздника Ысыах (обряд)</t>
  </si>
  <si>
    <t>Проведение нациоальног праздника Ысыах (организация питания)</t>
  </si>
  <si>
    <t xml:space="preserve">226 (23-55550-Х12131-0000000) </t>
  </si>
  <si>
    <t>Приобретение электротоваров (для центральной площади)</t>
  </si>
  <si>
    <t>Поверка приборов учета</t>
  </si>
  <si>
    <t>Приобретение светильников для объектов муниципальной собственности</t>
  </si>
  <si>
    <t>Закуп газонной травы (благоустройство МКД 13)</t>
  </si>
  <si>
    <t>Приобретение строительных материалов</t>
  </si>
  <si>
    <t>Поставка букетов 1</t>
  </si>
  <si>
    <t>Поставка букетов 2</t>
  </si>
  <si>
    <t>Поведение ремонтных работ городского коллектора</t>
  </si>
  <si>
    <t>Приобретение лицензии</t>
  </si>
  <si>
    <t>ТехноКад</t>
  </si>
  <si>
    <t xml:space="preserve"> Оплата саноторно-курортного лечения, проезда к месту лечения</t>
  </si>
  <si>
    <t>Приобретение новогодней игрушки</t>
  </si>
  <si>
    <t>Поставка новогодней игрушки</t>
  </si>
  <si>
    <t>поставка рамок оформительских</t>
  </si>
  <si>
    <t>Приобретение велопарковки</t>
  </si>
  <si>
    <t>Приобретение топиари на мет.карсассе  (для центральной площади)</t>
  </si>
  <si>
    <t>Прочие материальные запасы (противопожарный инвентарь), в т.ч.</t>
  </si>
  <si>
    <t>Баннерная продукция</t>
  </si>
  <si>
    <t>Денежное поощрение</t>
  </si>
  <si>
    <t>Услуги по межеванию земельных участков, схемы земельных участков</t>
  </si>
  <si>
    <t>Приобретение продуктов питания (лесные пожары)</t>
  </si>
  <si>
    <t>Приобретение офисной мебели (бухгалтерия)</t>
  </si>
  <si>
    <t>Оплата больничного листа уволенному работнику</t>
  </si>
  <si>
    <t>Прочие (нераспределенные)</t>
  </si>
  <si>
    <t>Поставка плитки на центральную площадь</t>
  </si>
  <si>
    <t xml:space="preserve"> Монтаж тротуарной плитки (на площадь)</t>
  </si>
  <si>
    <t>Прочие услуги (Санитарная очистка договор с Абдылдаевым)</t>
  </si>
  <si>
    <r>
      <t xml:space="preserve">Благоустройство территории МКД № 14 (с мероприятиями по отводу сточных вод </t>
    </r>
    <r>
      <rPr>
        <b/>
        <sz val="10"/>
        <rFont val="Arial Cyr"/>
        <family val="0"/>
      </rPr>
      <t>остаток средств за 2022 год)</t>
    </r>
  </si>
  <si>
    <r>
      <t>Благоустройство территории МКД № 31 (з</t>
    </r>
    <r>
      <rPr>
        <b/>
        <sz val="10"/>
        <rFont val="Arial Cyr"/>
        <family val="0"/>
      </rPr>
      <t>а счет средств АК АЛРОСА соглашение 2023 год)</t>
    </r>
  </si>
  <si>
    <r>
      <t>Проведение капитального ремонта, (помещение Амплуа) (о</t>
    </r>
    <r>
      <rPr>
        <b/>
        <i/>
        <sz val="12"/>
        <rFont val="Times New Roman"/>
        <family val="1"/>
      </rPr>
      <t>статок за 2022 год</t>
    </r>
    <r>
      <rPr>
        <i/>
        <sz val="12"/>
        <rFont val="Times New Roman"/>
        <family val="1"/>
      </rPr>
      <t xml:space="preserve">) </t>
    </r>
  </si>
  <si>
    <r>
      <t>Ремонт МКД № 23 (</t>
    </r>
    <r>
      <rPr>
        <b/>
        <i/>
        <sz val="12"/>
        <rFont val="Times New Roman"/>
        <family val="1"/>
      </rPr>
      <t>за счет соглашения 2023 года</t>
    </r>
    <r>
      <rPr>
        <i/>
        <sz val="12"/>
        <rFont val="Times New Roman"/>
        <family val="1"/>
      </rPr>
      <t>)</t>
    </r>
  </si>
  <si>
    <r>
      <t>Поставка детского игрового и спортивного оборудования (для придомовой территории МКД № 31 о</t>
    </r>
    <r>
      <rPr>
        <b/>
        <i/>
        <sz val="10"/>
        <rFont val="Arial Cyr"/>
        <family val="0"/>
      </rPr>
      <t>статок за 2022 год</t>
    </r>
    <r>
      <rPr>
        <i/>
        <sz val="10"/>
        <rFont val="Arial Cyr"/>
        <family val="0"/>
      </rPr>
      <t>)</t>
    </r>
  </si>
  <si>
    <r>
      <t>Благоустройство территории МКД № 31 (з</t>
    </r>
    <r>
      <rPr>
        <b/>
        <sz val="10"/>
        <rFont val="Arial Cyr"/>
        <family val="0"/>
      </rPr>
      <t>а счет средств АК АЛРОСА соглашение 2022 год)</t>
    </r>
  </si>
  <si>
    <t>Работы по ямочному ремонту дорог (остаток средств еще с договора 2021 года)</t>
  </si>
  <si>
    <t>Субсидия на деятельность ДНД (за счет средств бюджета РС (Я) приобретение аэрозолей</t>
  </si>
  <si>
    <t>Софинансирование на деятельность ДНД (за счет средств МБ) приобретение аэрозолей</t>
  </si>
  <si>
    <t>Приобретение плитки тактильной</t>
  </si>
  <si>
    <t>На проведение работ по ликвидации мест несанкциониорованнного размешения отходов, расположенных на территории г. Удачный</t>
  </si>
  <si>
    <t>Поставка искуственных дорожных неровностей</t>
  </si>
  <si>
    <t>выполнение работ по разработке проектной документации "Реконструкция системы учета расхода электроэнергии с интеграцией</t>
  </si>
  <si>
    <t>Выполнение работ по изготовлению металоконструкций</t>
  </si>
  <si>
    <t>Ремонт помещения в здании МАКбанка</t>
  </si>
  <si>
    <t>Обслуживание трубопроводов Центральной площади</t>
  </si>
  <si>
    <t>Ассенизация оборудования фонтана</t>
  </si>
  <si>
    <t>Приобретение Радиостанции Моторолла, помпы и комплектующие</t>
  </si>
  <si>
    <t xml:space="preserve">приобретение аккамуляторов </t>
  </si>
  <si>
    <t>Помпа и комплектующие</t>
  </si>
  <si>
    <t>7330010032</t>
  </si>
  <si>
    <t>Содержание иного имущества</t>
  </si>
  <si>
    <t>работы по монтажу кабельной линии 150 м от гаражного комплекса  до сцены на Центральной площади</t>
  </si>
  <si>
    <t>работы по восстановлению трубопровода ГВС и ХВС на объекте МС Переходная галерея</t>
  </si>
  <si>
    <t>Содержание  имущества</t>
  </si>
  <si>
    <t>Обработка деревянных конструкций на Центральной площади</t>
  </si>
  <si>
    <t>Мерзлотный надзор (объекты МС: Блок обсл(адм и стол), зд ВТБ,Пер гал, РУС)</t>
  </si>
  <si>
    <t>Услуги по укладке покрытия на дворовых территориях МКД 3 и 13</t>
  </si>
  <si>
    <t>Благоустройство площади к 60-ти летию Победы в ВОВ(30% аванс)</t>
  </si>
  <si>
    <t>перестановка опоры уличного освещения к пешеходному переходу школы №19</t>
  </si>
  <si>
    <t>Приобретение подарочной упаковки</t>
  </si>
  <si>
    <t>Поставка сладких подарков</t>
  </si>
  <si>
    <t>Поставка новогодних сладких подарков</t>
  </si>
  <si>
    <t>приобретение соединительных муфт для ремонта кабельных линий питания</t>
  </si>
  <si>
    <t>приобретение противоскользящего покрытия (ковролин)</t>
  </si>
  <si>
    <t>Приобретение натриевых ламп на объектах МС (Рус 2,3 этаж; Блок обслуживания, Переходная галерея, Администрация, Макбанк</t>
  </si>
  <si>
    <t>участие в конференции АСДГ</t>
  </si>
  <si>
    <t>Приобретение елки на центральную площадь</t>
  </si>
  <si>
    <t>Приобретение клиплайт и расх к нему</t>
  </si>
  <si>
    <t>уборка мусора в муниипальном жилом фонде</t>
  </si>
  <si>
    <t xml:space="preserve">Вывоз мусора и утилизация мусора </t>
  </si>
  <si>
    <t>"СКБ Контур"</t>
  </si>
  <si>
    <t>Поставка букетов 3</t>
  </si>
  <si>
    <t>Прочее (графин)</t>
  </si>
  <si>
    <t>Приобретение декоративного наружного консольного освещения</t>
  </si>
  <si>
    <t>Приобретение светотехнического оборудования (светильники)</t>
  </si>
  <si>
    <t>Приобретение парклета</t>
  </si>
  <si>
    <t>На проведение работ по ликвидации мест несанкциониорованнного размешения отходов, расположенных на территории МО</t>
  </si>
  <si>
    <t>Приобретение домкрата</t>
  </si>
  <si>
    <t>Выполнение работ по изготовлению технической документации (ООО Кадцентр)</t>
  </si>
  <si>
    <t>Возмещение затрат за электроэнергию, потребляемую информационной панелью</t>
  </si>
  <si>
    <t>Приобретение кабеля</t>
  </si>
  <si>
    <t>Разработка ПСД на детскую площадку</t>
  </si>
  <si>
    <t>Приобретение материальных запасов, в т.ч.</t>
  </si>
  <si>
    <t>Прочие расходы в т.ч.ч</t>
  </si>
  <si>
    <t>Замена расходомеров в здании администрации, гаражном комплексе</t>
  </si>
  <si>
    <t>Монтаж кабельной трассы вдоль технологической эстакады здания РУС</t>
  </si>
  <si>
    <t>Приобретение светотехнического оборудования (офисные светильники)</t>
  </si>
  <si>
    <t>Выполнение работ по изготовлению металоконструкций (флаговые конструкции Павловцев)</t>
  </si>
  <si>
    <t>Приобретение папок архивных</t>
  </si>
  <si>
    <t>Услуги повышения квалификации</t>
  </si>
  <si>
    <t xml:space="preserve">Муниципальная  программа "Развитие культурного пространства на территории МО "Город Удачный" на 2022-2026 годы"  </t>
  </si>
  <si>
    <r>
      <t>Установка Арт-объекта (</t>
    </r>
    <r>
      <rPr>
        <b/>
        <sz val="10"/>
        <rFont val="Arial Cyr"/>
        <family val="0"/>
      </rPr>
      <t>соглашение 2023 года дополнительное установка фюзеляжа</t>
    </r>
    <r>
      <rPr>
        <sz val="10"/>
        <rFont val="Arial Cyr"/>
        <family val="0"/>
      </rPr>
      <t>)</t>
    </r>
  </si>
  <si>
    <r>
      <t>Строительство лыжной базы (</t>
    </r>
    <r>
      <rPr>
        <b/>
        <sz val="10"/>
        <rFont val="Arial Cyr"/>
        <family val="0"/>
      </rPr>
      <t>остаток за 2022 год с 50-ти млн.</t>
    </r>
    <r>
      <rPr>
        <sz val="10"/>
        <rFont val="Arial Cyr"/>
        <family val="0"/>
      </rPr>
      <t>)</t>
    </r>
  </si>
  <si>
    <t>Приобретение светодиодной продукции (на новогоднюю елку)</t>
  </si>
  <si>
    <t>6130010012</t>
  </si>
  <si>
    <t xml:space="preserve">Реализация на территории РС (Якутия) проектов развития общественной инфраструктуры, основанных на местных инициативах (за счет средств ГБ) </t>
  </si>
  <si>
    <t>Реализация на территории РС (Якутия) проектов развития общественной инфраструктуры, основанных на местных инициативах (за счет средств МБ)</t>
  </si>
  <si>
    <t>Приобретение печатей для ЗАГСа</t>
  </si>
  <si>
    <t>Устройство наружного освещения (за счет ГБ)</t>
  </si>
  <si>
    <t>Устройство наружного освещения (за счет МБ)</t>
  </si>
  <si>
    <t xml:space="preserve">310 (23-55550-Х12131-0000000) </t>
  </si>
  <si>
    <t>Устройство объектов (Возведение пандуса переходная галерея)</t>
  </si>
  <si>
    <t>Приобретение увлажнителя</t>
  </si>
  <si>
    <t>Работы по установке пожарных извещателей в жилом фонде</t>
  </si>
  <si>
    <t>Услуги грузчиков</t>
  </si>
  <si>
    <t>Поездка на международный форум "Мы вместе"</t>
  </si>
  <si>
    <t>Доливка масла в редуктор</t>
  </si>
  <si>
    <t>Работы по ямочному ремонту дорог (за 2022 год) Соглашение 2021</t>
  </si>
  <si>
    <t xml:space="preserve">   Исполнение расходов бюджета МО "Город Удачный" Мирнинского района РС(Я) за 2023 год</t>
  </si>
  <si>
    <t>Уточненный план расходов на 2023 год</t>
  </si>
  <si>
    <t>Приложение 2</t>
  </si>
  <si>
    <t>к постановлению</t>
  </si>
  <si>
    <t>от "30" января 2024г. № 30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</si>
</sst>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  <numFmt numFmtId="206" formatCode="000000"/>
  </numFmts>
  <fonts count="123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1.5"/>
      <color indexed="8"/>
      <name val="Times New Roman"/>
      <family val="1"/>
    </font>
    <font>
      <b/>
      <sz val="11.5"/>
      <color indexed="10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u val="single"/>
      <sz val="10"/>
      <color indexed="8"/>
      <name val="Arial Cyr"/>
      <family val="0"/>
    </font>
    <font>
      <b/>
      <u val="singleAccounting"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sz val="11.5"/>
      <color indexed="8"/>
      <name val="Times New Roman"/>
      <family val="1"/>
    </font>
    <font>
      <i/>
      <sz val="10"/>
      <color indexed="13"/>
      <name val="Arial Cyr"/>
      <family val="0"/>
    </font>
    <font>
      <i/>
      <sz val="10"/>
      <color indexed="10"/>
      <name val="Arial Cyr"/>
      <family val="0"/>
    </font>
    <font>
      <i/>
      <sz val="11.5"/>
      <color indexed="8"/>
      <name val="Times New Roman"/>
      <family val="1"/>
    </font>
    <font>
      <i/>
      <sz val="10"/>
      <color indexed="8"/>
      <name val="Arial Cyr"/>
      <family val="2"/>
    </font>
    <font>
      <b/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sz val="12"/>
      <color rgb="FFFF0000"/>
      <name val="Arial Cyr"/>
      <family val="0"/>
    </font>
    <font>
      <b/>
      <sz val="10"/>
      <color rgb="FF00B050"/>
      <name val="Arial Cyr"/>
      <family val="0"/>
    </font>
    <font>
      <b/>
      <u val="singleAccounting"/>
      <sz val="10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0"/>
      <color rgb="FFFFFF00"/>
      <name val="Arial Cyr"/>
      <family val="0"/>
    </font>
    <font>
      <b/>
      <sz val="10"/>
      <color theme="1" tint="0.04998999834060669"/>
      <name val="Arial Cyr"/>
      <family val="0"/>
    </font>
    <font>
      <i/>
      <sz val="10"/>
      <color rgb="FFFF0000"/>
      <name val="Arial Cyr"/>
      <family val="0"/>
    </font>
    <font>
      <i/>
      <sz val="11.5"/>
      <color rgb="FF000000"/>
      <name val="Times New Roman"/>
      <family val="1"/>
    </font>
    <font>
      <sz val="10"/>
      <color theme="1"/>
      <name val="Arial Cyr"/>
      <family val="0"/>
    </font>
    <font>
      <i/>
      <sz val="10"/>
      <color theme="1"/>
      <name val="Arial Cyr"/>
      <family val="2"/>
    </font>
    <font>
      <b/>
      <u val="single"/>
      <sz val="10"/>
      <color rgb="FFFF0000"/>
      <name val="Arial Cyr"/>
      <family val="0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>
      <alignment vertical="top" wrapText="1"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43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2" fillId="34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43" fontId="11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vertical="center" wrapText="1"/>
    </xf>
    <xf numFmtId="43" fontId="5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1" fontId="13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5" fillId="35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3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36" borderId="0" xfId="0" applyFont="1" applyFill="1" applyAlignment="1">
      <alignment/>
    </xf>
    <xf numFmtId="0" fontId="2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/>
    </xf>
    <xf numFmtId="1" fontId="1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43" fontId="8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wrapText="1"/>
    </xf>
    <xf numFmtId="43" fontId="23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43" fontId="24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3" fontId="2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/>
    </xf>
    <xf numFmtId="43" fontId="22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1" fontId="22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vertical="center" wrapText="1"/>
    </xf>
    <xf numFmtId="43" fontId="5" fillId="38" borderId="10" xfId="0" applyNumberFormat="1" applyFont="1" applyFill="1" applyBorder="1" applyAlignment="1">
      <alignment/>
    </xf>
    <xf numFmtId="49" fontId="22" fillId="36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49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3" fontId="98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0" fontId="5" fillId="42" borderId="0" xfId="0" applyFont="1" applyFill="1" applyAlignment="1">
      <alignment/>
    </xf>
    <xf numFmtId="43" fontId="5" fillId="42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0" fontId="99" fillId="0" borderId="14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0" fillId="0" borderId="0" xfId="0" applyFont="1" applyAlignment="1">
      <alignment/>
    </xf>
    <xf numFmtId="0" fontId="100" fillId="36" borderId="0" xfId="0" applyFont="1" applyFill="1" applyAlignment="1">
      <alignment/>
    </xf>
    <xf numFmtId="0" fontId="102" fillId="0" borderId="0" xfId="0" applyFont="1" applyAlignment="1">
      <alignment/>
    </xf>
    <xf numFmtId="0" fontId="100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center"/>
    </xf>
    <xf numFmtId="43" fontId="27" fillId="0" borderId="10" xfId="0" applyNumberFormat="1" applyFont="1" applyFill="1" applyBorder="1" applyAlignment="1">
      <alignment/>
    </xf>
    <xf numFmtId="0" fontId="100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43" fontId="3" fillId="15" borderId="10" xfId="0" applyNumberFormat="1" applyFont="1" applyFill="1" applyBorder="1" applyAlignment="1">
      <alignment/>
    </xf>
    <xf numFmtId="43" fontId="11" fillId="15" borderId="10" xfId="0" applyNumberFormat="1" applyFont="1" applyFill="1" applyBorder="1" applyAlignment="1">
      <alignment/>
    </xf>
    <xf numFmtId="43" fontId="98" fillId="36" borderId="10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9" fontId="98" fillId="0" borderId="10" xfId="0" applyNumberFormat="1" applyFont="1" applyBorder="1" applyAlignment="1">
      <alignment horizontal="center"/>
    </xf>
    <xf numFmtId="49" fontId="98" fillId="0" borderId="10" xfId="0" applyNumberFormat="1" applyFont="1" applyFill="1" applyBorder="1" applyAlignment="1">
      <alignment horizontal="center"/>
    </xf>
    <xf numFmtId="49" fontId="103" fillId="0" borderId="10" xfId="0" applyNumberFormat="1" applyFont="1" applyBorder="1" applyAlignment="1">
      <alignment horizontal="center"/>
    </xf>
    <xf numFmtId="43" fontId="98" fillId="0" borderId="10" xfId="0" applyNumberFormat="1" applyFont="1" applyBorder="1" applyAlignment="1">
      <alignment/>
    </xf>
    <xf numFmtId="0" fontId="98" fillId="0" borderId="10" xfId="0" applyFont="1" applyFill="1" applyBorder="1" applyAlignment="1">
      <alignment vertical="center" wrapText="1"/>
    </xf>
    <xf numFmtId="49" fontId="104" fillId="0" borderId="10" xfId="0" applyNumberFormat="1" applyFont="1" applyBorder="1" applyAlignment="1">
      <alignment horizontal="center"/>
    </xf>
    <xf numFmtId="0" fontId="105" fillId="0" borderId="0" xfId="0" applyFont="1" applyFill="1" applyAlignment="1">
      <alignment/>
    </xf>
    <xf numFmtId="0" fontId="99" fillId="0" borderId="14" xfId="0" applyFont="1" applyFill="1" applyBorder="1" applyAlignment="1">
      <alignment vertical="top" wrapText="1"/>
    </xf>
    <xf numFmtId="49" fontId="106" fillId="0" borderId="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/>
    </xf>
    <xf numFmtId="43" fontId="22" fillId="0" borderId="1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43" borderId="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3" fillId="40" borderId="10" xfId="0" applyNumberFormat="1" applyFont="1" applyFill="1" applyBorder="1" applyAlignment="1">
      <alignment vertical="center" wrapText="1"/>
    </xf>
    <xf numFmtId="0" fontId="107" fillId="0" borderId="0" xfId="0" applyFont="1" applyAlignment="1">
      <alignment/>
    </xf>
    <xf numFmtId="0" fontId="108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3" fontId="3" fillId="0" borderId="0" xfId="0" applyNumberFormat="1" applyFont="1" applyAlignment="1">
      <alignment/>
    </xf>
    <xf numFmtId="0" fontId="107" fillId="0" borderId="0" xfId="0" applyFont="1" applyFill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wrapText="1"/>
    </xf>
    <xf numFmtId="1" fontId="17" fillId="0" borderId="16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distributed" wrapText="1"/>
    </xf>
    <xf numFmtId="0" fontId="109" fillId="0" borderId="10" xfId="0" applyFont="1" applyBorder="1" applyAlignment="1">
      <alignment vertical="distributed" wrapText="1"/>
    </xf>
    <xf numFmtId="0" fontId="109" fillId="0" borderId="17" xfId="0" applyFont="1" applyBorder="1" applyAlignment="1">
      <alignment vertical="distributed" wrapText="1"/>
    </xf>
    <xf numFmtId="0" fontId="109" fillId="0" borderId="18" xfId="0" applyFont="1" applyBorder="1" applyAlignment="1">
      <alignment vertical="distributed" wrapText="1"/>
    </xf>
    <xf numFmtId="43" fontId="1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10" fillId="0" borderId="10" xfId="0" applyFont="1" applyFill="1" applyBorder="1" applyAlignment="1">
      <alignment vertical="top" wrapText="1"/>
    </xf>
    <xf numFmtId="0" fontId="111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43" borderId="0" xfId="0" applyFill="1" applyAlignment="1">
      <alignment/>
    </xf>
    <xf numFmtId="43" fontId="5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100" fillId="42" borderId="0" xfId="0" applyFont="1" applyFill="1" applyAlignment="1">
      <alignment/>
    </xf>
    <xf numFmtId="49" fontId="5" fillId="15" borderId="10" xfId="0" applyNumberFormat="1" applyFont="1" applyFill="1" applyBorder="1" applyAlignment="1">
      <alignment horizontal="center"/>
    </xf>
    <xf numFmtId="0" fontId="113" fillId="15" borderId="0" xfId="0" applyFont="1" applyFill="1" applyAlignment="1">
      <alignment vertical="top" wrapText="1"/>
    </xf>
    <xf numFmtId="1" fontId="104" fillId="0" borderId="10" xfId="0" applyNumberFormat="1" applyFont="1" applyFill="1" applyBorder="1" applyAlignment="1">
      <alignment wrapText="1"/>
    </xf>
    <xf numFmtId="43" fontId="104" fillId="0" borderId="10" xfId="0" applyNumberFormat="1" applyFont="1" applyBorder="1" applyAlignment="1">
      <alignment/>
    </xf>
    <xf numFmtId="0" fontId="104" fillId="0" borderId="10" xfId="0" applyFont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/>
    </xf>
    <xf numFmtId="43" fontId="5" fillId="35" borderId="11" xfId="0" applyNumberFormat="1" applyFont="1" applyFill="1" applyBorder="1" applyAlignment="1">
      <alignment/>
    </xf>
    <xf numFmtId="0" fontId="99" fillId="0" borderId="19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vertical="center" wrapText="1"/>
    </xf>
    <xf numFmtId="49" fontId="3" fillId="15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0" fontId="113" fillId="15" borderId="20" xfId="0" applyFont="1" applyFill="1" applyBorder="1" applyAlignment="1">
      <alignment vertical="top" wrapText="1"/>
    </xf>
    <xf numFmtId="0" fontId="3" fillId="43" borderId="16" xfId="0" applyFont="1" applyFill="1" applyBorder="1" applyAlignment="1">
      <alignment vertical="center" wrapText="1"/>
    </xf>
    <xf numFmtId="49" fontId="3" fillId="43" borderId="10" xfId="0" applyNumberFormat="1" applyFont="1" applyFill="1" applyBorder="1" applyAlignment="1">
      <alignment horizontal="center"/>
    </xf>
    <xf numFmtId="43" fontId="3" fillId="43" borderId="10" xfId="0" applyNumberFormat="1" applyFont="1" applyFill="1" applyBorder="1" applyAlignment="1">
      <alignment/>
    </xf>
    <xf numFmtId="0" fontId="113" fillId="15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113" fillId="0" borderId="0" xfId="0" applyFont="1" applyFill="1" applyBorder="1" applyAlignment="1">
      <alignment vertical="top" wrapText="1"/>
    </xf>
    <xf numFmtId="43" fontId="3" fillId="36" borderId="0" xfId="0" applyNumberFormat="1" applyFont="1" applyFill="1" applyAlignment="1">
      <alignment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1" fontId="3" fillId="43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03" fillId="0" borderId="10" xfId="0" applyFont="1" applyBorder="1" applyAlignment="1">
      <alignment vertical="center" wrapText="1"/>
    </xf>
    <xf numFmtId="43" fontId="103" fillId="0" borderId="10" xfId="0" applyNumberFormat="1" applyFont="1" applyFill="1" applyBorder="1" applyAlignment="1">
      <alignment/>
    </xf>
    <xf numFmtId="0" fontId="103" fillId="0" borderId="10" xfId="0" applyFont="1" applyFill="1" applyBorder="1" applyAlignment="1">
      <alignment vertical="center" wrapText="1"/>
    </xf>
    <xf numFmtId="43" fontId="1" fillId="42" borderId="10" xfId="0" applyNumberFormat="1" applyFont="1" applyFill="1" applyBorder="1" applyAlignment="1">
      <alignment/>
    </xf>
    <xf numFmtId="1" fontId="3" fillId="40" borderId="10" xfId="0" applyNumberFormat="1" applyFont="1" applyFill="1" applyBorder="1" applyAlignment="1">
      <alignment vertical="center" wrapText="1"/>
    </xf>
    <xf numFmtId="0" fontId="11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49" fontId="3" fillId="15" borderId="16" xfId="0" applyNumberFormat="1" applyFont="1" applyFill="1" applyBorder="1" applyAlignment="1">
      <alignment horizontal="center"/>
    </xf>
    <xf numFmtId="43" fontId="3" fillId="15" borderId="16" xfId="0" applyNumberFormat="1" applyFont="1" applyFill="1" applyBorder="1" applyAlignment="1">
      <alignment/>
    </xf>
    <xf numFmtId="49" fontId="15" fillId="1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3" fontId="5" fillId="0" borderId="16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4" fillId="0" borderId="16" xfId="0" applyNumberFormat="1" applyFont="1" applyBorder="1" applyAlignment="1">
      <alignment/>
    </xf>
    <xf numFmtId="0" fontId="8" fillId="0" borderId="0" xfId="0" applyFont="1" applyAlignment="1">
      <alignment wrapText="1"/>
    </xf>
    <xf numFmtId="1" fontId="5" fillId="36" borderId="1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wrapText="1"/>
    </xf>
    <xf numFmtId="43" fontId="1" fillId="0" borderId="16" xfId="0" applyNumberFormat="1" applyFont="1" applyBorder="1" applyAlignment="1">
      <alignment/>
    </xf>
    <xf numFmtId="49" fontId="103" fillId="42" borderId="10" xfId="0" applyNumberFormat="1" applyFont="1" applyFill="1" applyBorder="1" applyAlignment="1">
      <alignment horizontal="center"/>
    </xf>
    <xf numFmtId="43" fontId="3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43" fontId="0" fillId="42" borderId="0" xfId="0" applyNumberFormat="1" applyFill="1" applyAlignment="1">
      <alignment/>
    </xf>
    <xf numFmtId="0" fontId="100" fillId="42" borderId="0" xfId="0" applyFont="1" applyFill="1" applyAlignment="1">
      <alignment/>
    </xf>
    <xf numFmtId="43" fontId="100" fillId="42" borderId="0" xfId="0" applyNumberFormat="1" applyFont="1" applyFill="1" applyAlignment="1">
      <alignment/>
    </xf>
    <xf numFmtId="43" fontId="3" fillId="42" borderId="0" xfId="0" applyNumberFormat="1" applyFont="1" applyFill="1" applyAlignment="1">
      <alignment/>
    </xf>
    <xf numFmtId="0" fontId="3" fillId="42" borderId="0" xfId="0" applyFont="1" applyFill="1" applyAlignment="1">
      <alignment/>
    </xf>
    <xf numFmtId="0" fontId="102" fillId="42" borderId="0" xfId="0" applyFont="1" applyFill="1" applyAlignment="1">
      <alignment/>
    </xf>
    <xf numFmtId="0" fontId="1" fillId="42" borderId="0" xfId="0" applyFont="1" applyFill="1" applyAlignment="1">
      <alignment/>
    </xf>
    <xf numFmtId="0" fontId="3" fillId="42" borderId="0" xfId="0" applyFont="1" applyFill="1" applyAlignment="1">
      <alignment/>
    </xf>
    <xf numFmtId="43" fontId="100" fillId="42" borderId="0" xfId="0" applyNumberFormat="1" applyFont="1" applyFill="1" applyAlignment="1">
      <alignment/>
    </xf>
    <xf numFmtId="43" fontId="102" fillId="42" borderId="0" xfId="0" applyNumberFormat="1" applyFont="1" applyFill="1" applyAlignment="1">
      <alignment/>
    </xf>
    <xf numFmtId="43" fontId="1" fillId="42" borderId="0" xfId="0" applyNumberFormat="1" applyFont="1" applyFill="1" applyAlignment="1">
      <alignment/>
    </xf>
    <xf numFmtId="0" fontId="20" fillId="42" borderId="0" xfId="0" applyFont="1" applyFill="1" applyAlignment="1">
      <alignment/>
    </xf>
    <xf numFmtId="0" fontId="26" fillId="42" borderId="0" xfId="0" applyFont="1" applyFill="1" applyAlignment="1">
      <alignment/>
    </xf>
    <xf numFmtId="43" fontId="1" fillId="42" borderId="0" xfId="0" applyNumberFormat="1" applyFont="1" applyFill="1" applyAlignment="1">
      <alignment/>
    </xf>
    <xf numFmtId="0" fontId="115" fillId="42" borderId="0" xfId="0" applyFont="1" applyFill="1" applyAlignment="1">
      <alignment/>
    </xf>
    <xf numFmtId="0" fontId="111" fillId="42" borderId="0" xfId="0" applyFont="1" applyFill="1" applyAlignment="1">
      <alignment/>
    </xf>
    <xf numFmtId="0" fontId="1" fillId="42" borderId="0" xfId="0" applyFont="1" applyFill="1" applyAlignment="1">
      <alignment/>
    </xf>
    <xf numFmtId="43" fontId="108" fillId="42" borderId="0" xfId="0" applyNumberFormat="1" applyFont="1" applyFill="1" applyBorder="1" applyAlignment="1">
      <alignment/>
    </xf>
    <xf numFmtId="0" fontId="5" fillId="42" borderId="0" xfId="0" applyFont="1" applyFill="1" applyAlignment="1">
      <alignment/>
    </xf>
    <xf numFmtId="43" fontId="5" fillId="42" borderId="0" xfId="0" applyNumberFormat="1" applyFont="1" applyFill="1" applyAlignment="1">
      <alignment/>
    </xf>
    <xf numFmtId="43" fontId="5" fillId="42" borderId="0" xfId="0" applyNumberFormat="1" applyFont="1" applyFill="1" applyAlignment="1">
      <alignment/>
    </xf>
    <xf numFmtId="43" fontId="3" fillId="42" borderId="0" xfId="0" applyNumberFormat="1" applyFont="1" applyFill="1" applyAlignment="1">
      <alignment/>
    </xf>
    <xf numFmtId="43" fontId="100" fillId="42" borderId="0" xfId="0" applyNumberFormat="1" applyFont="1" applyFill="1" applyAlignment="1">
      <alignment/>
    </xf>
    <xf numFmtId="0" fontId="19" fillId="42" borderId="0" xfId="0" applyFont="1" applyFill="1" applyAlignment="1">
      <alignment/>
    </xf>
    <xf numFmtId="43" fontId="116" fillId="42" borderId="0" xfId="0" applyNumberFormat="1" applyFont="1" applyFill="1" applyAlignment="1">
      <alignment/>
    </xf>
    <xf numFmtId="0" fontId="4" fillId="42" borderId="0" xfId="0" applyFont="1" applyFill="1" applyAlignment="1">
      <alignment/>
    </xf>
    <xf numFmtId="43" fontId="5" fillId="42" borderId="0" xfId="0" applyNumberFormat="1" applyFont="1" applyFill="1" applyBorder="1" applyAlignment="1">
      <alignment/>
    </xf>
    <xf numFmtId="43" fontId="107" fillId="42" borderId="0" xfId="0" applyNumberFormat="1" applyFont="1" applyFill="1" applyAlignment="1">
      <alignment/>
    </xf>
    <xf numFmtId="43" fontId="100" fillId="42" borderId="0" xfId="0" applyNumberFormat="1" applyFont="1" applyFill="1" applyAlignment="1">
      <alignment horizontal="center"/>
    </xf>
    <xf numFmtId="4" fontId="100" fillId="42" borderId="0" xfId="0" applyNumberFormat="1" applyFont="1" applyFill="1" applyAlignment="1">
      <alignment horizontal="center"/>
    </xf>
    <xf numFmtId="0" fontId="19" fillId="42" borderId="0" xfId="0" applyFont="1" applyFill="1" applyAlignment="1">
      <alignment/>
    </xf>
    <xf numFmtId="187" fontId="100" fillId="42" borderId="0" xfId="62" applyFont="1" applyFill="1" applyAlignment="1">
      <alignment/>
    </xf>
    <xf numFmtId="0" fontId="109" fillId="0" borderId="0" xfId="0" applyFont="1" applyBorder="1" applyAlignment="1">
      <alignment vertical="distributed" wrapText="1"/>
    </xf>
    <xf numFmtId="0" fontId="100" fillId="36" borderId="0" xfId="0" applyFont="1" applyFill="1" applyAlignment="1">
      <alignment/>
    </xf>
    <xf numFmtId="1" fontId="3" fillId="43" borderId="10" xfId="0" applyNumberFormat="1" applyFont="1" applyFill="1" applyBorder="1" applyAlignment="1">
      <alignment vertical="center" wrapText="1"/>
    </xf>
    <xf numFmtId="43" fontId="117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3" fillId="44" borderId="10" xfId="0" applyFont="1" applyFill="1" applyBorder="1" applyAlignment="1">
      <alignment vertical="center" wrapText="1"/>
    </xf>
    <xf numFmtId="0" fontId="31" fillId="44" borderId="10" xfId="0" applyFont="1" applyFill="1" applyBorder="1" applyAlignment="1">
      <alignment horizontal="left" wrapText="1"/>
    </xf>
    <xf numFmtId="0" fontId="36" fillId="44" borderId="10" xfId="0" applyFont="1" applyFill="1" applyBorder="1" applyAlignment="1">
      <alignment vertical="center" wrapText="1"/>
    </xf>
    <xf numFmtId="49" fontId="4" fillId="43" borderId="10" xfId="0" applyNumberFormat="1" applyFont="1" applyFill="1" applyBorder="1" applyAlignment="1">
      <alignment horizontal="center"/>
    </xf>
    <xf numFmtId="0" fontId="3" fillId="40" borderId="0" xfId="0" applyFont="1" applyFill="1" applyAlignment="1">
      <alignment/>
    </xf>
    <xf numFmtId="4" fontId="100" fillId="0" borderId="0" xfId="0" applyNumberFormat="1" applyFont="1" applyFill="1" applyAlignment="1">
      <alignment horizontal="center"/>
    </xf>
    <xf numFmtId="0" fontId="3" fillId="43" borderId="0" xfId="0" applyFont="1" applyFill="1" applyAlignment="1">
      <alignment/>
    </xf>
    <xf numFmtId="49" fontId="3" fillId="43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43" borderId="10" xfId="0" applyFont="1" applyFill="1" applyBorder="1" applyAlignment="1">
      <alignment wrapText="1"/>
    </xf>
    <xf numFmtId="43" fontId="107" fillId="0" borderId="0" xfId="0" applyNumberFormat="1" applyFont="1" applyFill="1" applyAlignment="1">
      <alignment/>
    </xf>
    <xf numFmtId="0" fontId="13" fillId="43" borderId="10" xfId="0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4" fontId="35" fillId="15" borderId="13" xfId="54" applyNumberFormat="1" applyFont="1" applyFill="1" applyBorder="1" applyAlignment="1">
      <alignment horizontal="center" vertical="center" wrapText="1"/>
      <protection/>
    </xf>
    <xf numFmtId="0" fontId="100" fillId="0" borderId="0" xfId="0" applyFont="1" applyFill="1" applyAlignment="1">
      <alignment/>
    </xf>
    <xf numFmtId="43" fontId="100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0" fontId="118" fillId="0" borderId="10" xfId="0" applyFont="1" applyFill="1" applyBorder="1" applyAlignment="1">
      <alignment vertical="top" wrapText="1"/>
    </xf>
    <xf numFmtId="0" fontId="113" fillId="0" borderId="0" xfId="0" applyFont="1" applyFill="1" applyAlignment="1">
      <alignment vertical="top" wrapText="1"/>
    </xf>
    <xf numFmtId="49" fontId="3" fillId="0" borderId="21" xfId="0" applyNumberFormat="1" applyFont="1" applyBorder="1" applyAlignment="1">
      <alignment horizontal="center"/>
    </xf>
    <xf numFmtId="43" fontId="3" fillId="0" borderId="1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3" fontId="5" fillId="0" borderId="16" xfId="0" applyNumberFormat="1" applyFont="1" applyFill="1" applyBorder="1" applyAlignment="1">
      <alignment/>
    </xf>
    <xf numFmtId="43" fontId="101" fillId="0" borderId="10" xfId="0" applyNumberFormat="1" applyFont="1" applyBorder="1" applyAlignment="1">
      <alignment/>
    </xf>
    <xf numFmtId="0" fontId="99" fillId="0" borderId="19" xfId="0" applyFont="1" applyFill="1" applyBorder="1" applyAlignment="1">
      <alignment vertical="top" wrapText="1"/>
    </xf>
    <xf numFmtId="49" fontId="5" fillId="43" borderId="10" xfId="0" applyNumberFormat="1" applyFont="1" applyFill="1" applyBorder="1" applyAlignment="1">
      <alignment horizontal="center"/>
    </xf>
    <xf numFmtId="0" fontId="100" fillId="43" borderId="0" xfId="0" applyFont="1" applyFill="1" applyAlignment="1">
      <alignment/>
    </xf>
    <xf numFmtId="0" fontId="5" fillId="43" borderId="0" xfId="0" applyFont="1" applyFill="1" applyAlignment="1">
      <alignment/>
    </xf>
    <xf numFmtId="1" fontId="5" fillId="36" borderId="0" xfId="0" applyNumberFormat="1" applyFont="1" applyFill="1" applyBorder="1" applyAlignment="1">
      <alignment vertical="center" wrapText="1"/>
    </xf>
    <xf numFmtId="0" fontId="33" fillId="43" borderId="10" xfId="0" applyFont="1" applyFill="1" applyBorder="1" applyAlignment="1">
      <alignment wrapText="1"/>
    </xf>
    <xf numFmtId="43" fontId="116" fillId="0" borderId="0" xfId="0" applyNumberFormat="1" applyFont="1" applyFill="1" applyAlignment="1">
      <alignment/>
    </xf>
    <xf numFmtId="0" fontId="113" fillId="0" borderId="10" xfId="0" applyFont="1" applyFill="1" applyBorder="1" applyAlignment="1">
      <alignment vertical="top" wrapText="1"/>
    </xf>
    <xf numFmtId="0" fontId="113" fillId="43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4" fillId="0" borderId="0" xfId="0" applyFont="1" applyFill="1" applyAlignment="1">
      <alignment vertical="top" wrapText="1"/>
    </xf>
    <xf numFmtId="1" fontId="1" fillId="36" borderId="10" xfId="0" applyNumberFormat="1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43" fontId="119" fillId="0" borderId="10" xfId="0" applyNumberFormat="1" applyFont="1" applyBorder="1" applyAlignment="1">
      <alignment/>
    </xf>
    <xf numFmtId="43" fontId="12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3" fontId="1" fillId="0" borderId="16" xfId="0" applyNumberFormat="1" applyFont="1" applyFill="1" applyBorder="1" applyAlignment="1">
      <alignment/>
    </xf>
    <xf numFmtId="49" fontId="3" fillId="43" borderId="21" xfId="0" applyNumberFormat="1" applyFont="1" applyFill="1" applyBorder="1" applyAlignment="1">
      <alignment horizontal="center"/>
    </xf>
    <xf numFmtId="43" fontId="3" fillId="43" borderId="21" xfId="0" applyNumberFormat="1" applyFont="1" applyFill="1" applyBorder="1" applyAlignment="1">
      <alignment/>
    </xf>
    <xf numFmtId="43" fontId="5" fillId="43" borderId="10" xfId="0" applyNumberFormat="1" applyFont="1" applyFill="1" applyBorder="1" applyAlignment="1">
      <alignment/>
    </xf>
    <xf numFmtId="49" fontId="3" fillId="38" borderId="11" xfId="0" applyNumberFormat="1" applyFont="1" applyFill="1" applyBorder="1" applyAlignment="1">
      <alignment horizontal="center"/>
    </xf>
    <xf numFmtId="49" fontId="5" fillId="15" borderId="11" xfId="0" applyNumberFormat="1" applyFont="1" applyFill="1" applyBorder="1" applyAlignment="1">
      <alignment horizontal="center"/>
    </xf>
    <xf numFmtId="43" fontId="3" fillId="15" borderId="11" xfId="0" applyNumberFormat="1" applyFont="1" applyFill="1" applyBorder="1" applyAlignment="1">
      <alignment/>
    </xf>
    <xf numFmtId="0" fontId="114" fillId="0" borderId="16" xfId="0" applyFont="1" applyFill="1" applyBorder="1" applyAlignment="1">
      <alignment vertical="top" wrapText="1"/>
    </xf>
    <xf numFmtId="0" fontId="101" fillId="42" borderId="0" xfId="0" applyFont="1" applyFill="1" applyAlignment="1">
      <alignment/>
    </xf>
    <xf numFmtId="1" fontId="1" fillId="43" borderId="10" xfId="0" applyNumberFormat="1" applyFont="1" applyFill="1" applyBorder="1" applyAlignment="1">
      <alignment wrapText="1"/>
    </xf>
    <xf numFmtId="0" fontId="103" fillId="44" borderId="10" xfId="0" applyFont="1" applyFill="1" applyBorder="1" applyAlignment="1">
      <alignment vertical="center" wrapText="1"/>
    </xf>
    <xf numFmtId="0" fontId="103" fillId="42" borderId="10" xfId="0" applyFont="1" applyFill="1" applyBorder="1" applyAlignment="1">
      <alignment vertical="center" wrapText="1"/>
    </xf>
    <xf numFmtId="49" fontId="102" fillId="0" borderId="10" xfId="0" applyNumberFormat="1" applyFont="1" applyBorder="1" applyAlignment="1">
      <alignment horizontal="center"/>
    </xf>
    <xf numFmtId="43" fontId="4" fillId="42" borderId="10" xfId="0" applyNumberFormat="1" applyFont="1" applyFill="1" applyBorder="1" applyAlignment="1">
      <alignment/>
    </xf>
    <xf numFmtId="187" fontId="100" fillId="0" borderId="0" xfId="62" applyFont="1" applyFill="1" applyAlignment="1">
      <alignment/>
    </xf>
    <xf numFmtId="0" fontId="3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2" fillId="43" borderId="10" xfId="0" applyFont="1" applyFill="1" applyBorder="1" applyAlignment="1">
      <alignment wrapText="1"/>
    </xf>
    <xf numFmtId="0" fontId="121" fillId="0" borderId="0" xfId="0" applyFont="1" applyFill="1" applyAlignment="1">
      <alignment/>
    </xf>
    <xf numFmtId="49" fontId="97" fillId="0" borderId="10" xfId="64" applyNumberFormat="1" applyFill="1" applyBorder="1" applyAlignment="1">
      <alignment horizontal="center"/>
    </xf>
    <xf numFmtId="43" fontId="11" fillId="0" borderId="10" xfId="0" applyNumberFormat="1" applyFont="1" applyFill="1" applyBorder="1" applyAlignment="1">
      <alignment horizontal="center" vertical="center" wrapText="1"/>
    </xf>
    <xf numFmtId="43" fontId="0" fillId="43" borderId="10" xfId="0" applyNumberFormat="1" applyFont="1" applyFill="1" applyBorder="1" applyAlignment="1">
      <alignment/>
    </xf>
    <xf numFmtId="43" fontId="5" fillId="0" borderId="2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43" fontId="28" fillId="0" borderId="0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BA2765"/>
  <sheetViews>
    <sheetView tabSelected="1" view="pageBreakPreview" zoomScaleNormal="120" zoomScaleSheetLayoutView="100" workbookViewId="0" topLeftCell="A4">
      <selection activeCell="H13" sqref="H13"/>
    </sheetView>
  </sheetViews>
  <sheetFormatPr defaultColWidth="9.140625" defaultRowHeight="12.75" outlineLevelCol="1"/>
  <cols>
    <col min="1" max="1" width="26.8515625" style="1" customWidth="1"/>
    <col min="2" max="2" width="9.00390625" style="2" customWidth="1"/>
    <col min="3" max="3" width="11.7109375" style="2" customWidth="1"/>
    <col min="4" max="4" width="6.57421875" style="2" customWidth="1"/>
    <col min="5" max="6" width="7.421875" style="2" customWidth="1"/>
    <col min="7" max="7" width="20.7109375" style="116" customWidth="1" outlineLevel="1"/>
    <col min="8" max="8" width="20.421875" style="116" customWidth="1" outlineLevel="1"/>
    <col min="9" max="9" width="20.8515625" style="141" customWidth="1"/>
    <col min="10" max="10" width="23.140625" style="365" customWidth="1"/>
    <col min="11" max="11" width="16.7109375" style="0" bestFit="1" customWidth="1"/>
    <col min="12" max="12" width="15.8515625" style="0" bestFit="1" customWidth="1"/>
    <col min="13" max="13" width="16.00390625" style="0" customWidth="1"/>
  </cols>
  <sheetData>
    <row r="1" ht="12.75" customHeight="1" hidden="1"/>
    <row r="2" ht="12.75" hidden="1"/>
    <row r="3" spans="7:8" ht="12.75" hidden="1">
      <c r="G3" s="118"/>
      <c r="H3" s="118"/>
    </row>
    <row r="4" spans="7:9" ht="15">
      <c r="G4" s="120"/>
      <c r="H4" s="480" t="s">
        <v>882</v>
      </c>
      <c r="I4" s="480"/>
    </row>
    <row r="5" spans="7:9" ht="15">
      <c r="G5" s="120"/>
      <c r="H5" s="480" t="s">
        <v>883</v>
      </c>
      <c r="I5" s="480"/>
    </row>
    <row r="6" spans="7:9" ht="18">
      <c r="G6" s="119"/>
      <c r="H6" s="480" t="s">
        <v>884</v>
      </c>
      <c r="I6" s="480"/>
    </row>
    <row r="7" spans="1:8" ht="18">
      <c r="A7" s="70" t="s">
        <v>880</v>
      </c>
      <c r="B7" s="70"/>
      <c r="C7" s="70"/>
      <c r="D7" s="70"/>
      <c r="E7" s="70"/>
      <c r="F7" s="70"/>
      <c r="G7" s="120"/>
      <c r="H7" s="120"/>
    </row>
    <row r="8" spans="1:8" ht="18">
      <c r="A8" s="88"/>
      <c r="B8" s="88"/>
      <c r="C8" s="88"/>
      <c r="D8" s="88"/>
      <c r="E8" s="89"/>
      <c r="F8" s="88"/>
      <c r="G8" s="120"/>
      <c r="H8" s="120"/>
    </row>
    <row r="9" spans="1:8" ht="15.75">
      <c r="A9" s="68"/>
      <c r="B9" s="68"/>
      <c r="C9" s="68"/>
      <c r="D9" s="68"/>
      <c r="E9" s="6"/>
      <c r="F9" s="7"/>
      <c r="G9" s="120"/>
      <c r="H9" s="120"/>
    </row>
    <row r="10" spans="1:9" ht="12.75" customHeight="1">
      <c r="A10" s="476" t="s">
        <v>0</v>
      </c>
      <c r="B10" s="477"/>
      <c r="C10" s="477"/>
      <c r="D10" s="477"/>
      <c r="E10" s="477"/>
      <c r="F10" s="478"/>
      <c r="G10" s="121"/>
      <c r="H10" s="121"/>
      <c r="I10" s="139"/>
    </row>
    <row r="11" spans="1:9" ht="83.25" customHeight="1">
      <c r="A11" s="20" t="s">
        <v>1</v>
      </c>
      <c r="B11" s="21" t="s">
        <v>272</v>
      </c>
      <c r="C11" s="21" t="s">
        <v>273</v>
      </c>
      <c r="D11" s="21" t="s">
        <v>274</v>
      </c>
      <c r="E11" s="21" t="s">
        <v>275</v>
      </c>
      <c r="F11" s="21" t="s">
        <v>2</v>
      </c>
      <c r="G11" s="276" t="s">
        <v>881</v>
      </c>
      <c r="H11" s="276" t="s">
        <v>379</v>
      </c>
      <c r="I11" s="472" t="s">
        <v>534</v>
      </c>
    </row>
    <row r="12" spans="1:9" ht="25.5">
      <c r="A12" s="49" t="s">
        <v>3</v>
      </c>
      <c r="B12" s="50" t="s">
        <v>4</v>
      </c>
      <c r="C12" s="72"/>
      <c r="D12" s="50"/>
      <c r="E12" s="50"/>
      <c r="F12" s="50"/>
      <c r="G12" s="95">
        <f>G13+G46+G194+G25+G171+G192</f>
        <v>210730006.17000002</v>
      </c>
      <c r="H12" s="95">
        <f>H13+H46+H194+H25+H171+H192</f>
        <v>179215864.39999998</v>
      </c>
      <c r="I12" s="95">
        <f>I13+I46+I194+I25+I171+I192</f>
        <v>31177397.879999995</v>
      </c>
    </row>
    <row r="13" spans="1:10" ht="25.5">
      <c r="A13" s="94" t="s">
        <v>91</v>
      </c>
      <c r="B13" s="50" t="s">
        <v>13</v>
      </c>
      <c r="C13" s="72"/>
      <c r="D13" s="73"/>
      <c r="E13" s="73"/>
      <c r="F13" s="72"/>
      <c r="G13" s="95">
        <f>G15+G16+G17+G18+G20+G21+G23+G19+G22+G24</f>
        <v>6674834</v>
      </c>
      <c r="H13" s="95">
        <f>H15+H16+H17+H18+H20+H21+H23+H19+H22+H24</f>
        <v>6482277.95</v>
      </c>
      <c r="I13" s="95">
        <f>I15+I16+I17+I18+I20+I21+I23+I19+I22+I24</f>
        <v>192556.0500000001</v>
      </c>
      <c r="J13" s="366"/>
    </row>
    <row r="14" spans="1:10" s="113" customFormat="1" ht="25.5">
      <c r="A14" s="107" t="s">
        <v>230</v>
      </c>
      <c r="B14" s="36"/>
      <c r="C14" s="44"/>
      <c r="D14" s="40"/>
      <c r="E14" s="40"/>
      <c r="F14" s="44"/>
      <c r="G14" s="115"/>
      <c r="H14" s="115"/>
      <c r="I14" s="217"/>
      <c r="J14" s="366"/>
    </row>
    <row r="15" spans="1:9" ht="12.75">
      <c r="A15" s="48" t="s">
        <v>10</v>
      </c>
      <c r="B15" s="25" t="s">
        <v>13</v>
      </c>
      <c r="C15" s="44" t="s">
        <v>277</v>
      </c>
      <c r="D15" s="25" t="s">
        <v>74</v>
      </c>
      <c r="E15" s="25" t="s">
        <v>11</v>
      </c>
      <c r="F15" s="25"/>
      <c r="G15" s="115">
        <f>4806109+280234+85468.75</f>
        <v>5171811.75</v>
      </c>
      <c r="H15" s="116">
        <v>5056861.92</v>
      </c>
      <c r="I15" s="79">
        <f aca="true" t="shared" si="0" ref="I15:I24">G15-H15</f>
        <v>114949.83000000007</v>
      </c>
    </row>
    <row r="16" spans="1:9" ht="25.5">
      <c r="A16" s="48" t="s">
        <v>15</v>
      </c>
      <c r="B16" s="25" t="s">
        <v>13</v>
      </c>
      <c r="C16" s="25" t="s">
        <v>277</v>
      </c>
      <c r="D16" s="25" t="s">
        <v>409</v>
      </c>
      <c r="E16" s="25" t="s">
        <v>16</v>
      </c>
      <c r="F16" s="25"/>
      <c r="G16" s="115">
        <f>1451445-280234-85468.75</f>
        <v>1085742.25</v>
      </c>
      <c r="H16" s="116">
        <v>1059332.73</v>
      </c>
      <c r="I16" s="79">
        <f t="shared" si="0"/>
        <v>26409.52000000002</v>
      </c>
    </row>
    <row r="17" spans="1:9" ht="12.75">
      <c r="A17" s="48"/>
      <c r="B17" s="25" t="s">
        <v>13</v>
      </c>
      <c r="C17" s="25" t="s">
        <v>277</v>
      </c>
      <c r="D17" s="25" t="s">
        <v>74</v>
      </c>
      <c r="E17" s="25" t="s">
        <v>410</v>
      </c>
      <c r="F17" s="25"/>
      <c r="G17" s="115">
        <v>0</v>
      </c>
      <c r="I17" s="79">
        <f t="shared" si="0"/>
        <v>0</v>
      </c>
    </row>
    <row r="18" spans="1:9" ht="12.75">
      <c r="A18" s="48"/>
      <c r="B18" s="25" t="s">
        <v>13</v>
      </c>
      <c r="C18" s="25" t="s">
        <v>277</v>
      </c>
      <c r="D18" s="25" t="s">
        <v>80</v>
      </c>
      <c r="E18" s="25" t="s">
        <v>402</v>
      </c>
      <c r="F18" s="25" t="s">
        <v>216</v>
      </c>
      <c r="G18" s="115">
        <v>20000</v>
      </c>
      <c r="H18" s="116">
        <v>0</v>
      </c>
      <c r="I18" s="79">
        <f t="shared" si="0"/>
        <v>20000</v>
      </c>
    </row>
    <row r="19" spans="1:9" ht="12.75">
      <c r="A19" s="48" t="s">
        <v>558</v>
      </c>
      <c r="B19" s="25" t="s">
        <v>13</v>
      </c>
      <c r="C19" s="25" t="s">
        <v>277</v>
      </c>
      <c r="D19" s="25" t="s">
        <v>80</v>
      </c>
      <c r="E19" s="99" t="s">
        <v>401</v>
      </c>
      <c r="F19" s="99" t="s">
        <v>160</v>
      </c>
      <c r="G19" s="115"/>
      <c r="I19" s="79">
        <f t="shared" si="0"/>
        <v>0</v>
      </c>
    </row>
    <row r="20" spans="1:9" ht="25.5">
      <c r="A20" s="39" t="s">
        <v>196</v>
      </c>
      <c r="B20" s="25" t="s">
        <v>13</v>
      </c>
      <c r="C20" s="25" t="s">
        <v>277</v>
      </c>
      <c r="D20" s="25" t="s">
        <v>80</v>
      </c>
      <c r="E20" s="25" t="s">
        <v>12</v>
      </c>
      <c r="F20" s="25" t="s">
        <v>162</v>
      </c>
      <c r="G20" s="115">
        <v>28700</v>
      </c>
      <c r="H20" s="116">
        <v>28700</v>
      </c>
      <c r="I20" s="79">
        <f t="shared" si="0"/>
        <v>0</v>
      </c>
    </row>
    <row r="21" spans="1:9" ht="51">
      <c r="A21" s="39" t="s">
        <v>403</v>
      </c>
      <c r="B21" s="25" t="s">
        <v>13</v>
      </c>
      <c r="C21" s="25" t="s">
        <v>277</v>
      </c>
      <c r="D21" s="25" t="s">
        <v>80</v>
      </c>
      <c r="E21" s="25" t="s">
        <v>54</v>
      </c>
      <c r="F21" s="25" t="s">
        <v>162</v>
      </c>
      <c r="G21" s="115">
        <f>77780+110000+63000</f>
        <v>250780</v>
      </c>
      <c r="H21" s="116">
        <v>246708.5</v>
      </c>
      <c r="I21" s="79">
        <f t="shared" si="0"/>
        <v>4071.5</v>
      </c>
    </row>
    <row r="22" spans="1:9" ht="12.75">
      <c r="A22" s="39" t="s">
        <v>645</v>
      </c>
      <c r="B22" s="25" t="s">
        <v>13</v>
      </c>
      <c r="C22" s="25" t="s">
        <v>277</v>
      </c>
      <c r="D22" s="25" t="s">
        <v>125</v>
      </c>
      <c r="E22" s="25" t="s">
        <v>26</v>
      </c>
      <c r="F22" s="25"/>
      <c r="G22" s="115">
        <v>37800</v>
      </c>
      <c r="H22" s="116">
        <v>36674.8</v>
      </c>
      <c r="I22" s="79">
        <f t="shared" si="0"/>
        <v>1125.199999999997</v>
      </c>
    </row>
    <row r="23" spans="1:9" ht="63.75">
      <c r="A23" s="37" t="s">
        <v>172</v>
      </c>
      <c r="B23" s="25" t="s">
        <v>13</v>
      </c>
      <c r="C23" s="25" t="s">
        <v>277</v>
      </c>
      <c r="D23" s="25" t="s">
        <v>206</v>
      </c>
      <c r="E23" s="25" t="s">
        <v>54</v>
      </c>
      <c r="F23" s="25" t="s">
        <v>162</v>
      </c>
      <c r="G23" s="115">
        <f>113000-63000</f>
        <v>50000</v>
      </c>
      <c r="H23" s="116">
        <v>24000</v>
      </c>
      <c r="I23" s="79">
        <f t="shared" si="0"/>
        <v>26000</v>
      </c>
    </row>
    <row r="24" spans="1:9" ht="25.5">
      <c r="A24" s="37" t="s">
        <v>861</v>
      </c>
      <c r="B24" s="25" t="s">
        <v>13</v>
      </c>
      <c r="C24" s="25" t="s">
        <v>277</v>
      </c>
      <c r="D24" s="25" t="s">
        <v>206</v>
      </c>
      <c r="E24" s="25" t="s">
        <v>54</v>
      </c>
      <c r="F24" s="25" t="s">
        <v>186</v>
      </c>
      <c r="G24" s="115">
        <v>30000</v>
      </c>
      <c r="H24" s="116">
        <v>30000</v>
      </c>
      <c r="I24" s="79">
        <f t="shared" si="0"/>
        <v>0</v>
      </c>
    </row>
    <row r="25" spans="1:10" ht="51">
      <c r="A25" s="74" t="s">
        <v>5</v>
      </c>
      <c r="B25" s="50" t="s">
        <v>6</v>
      </c>
      <c r="C25" s="72"/>
      <c r="D25" s="72"/>
      <c r="E25" s="72"/>
      <c r="F25" s="72"/>
      <c r="G25" s="95">
        <f>SUM(G33:G39)+G31+G30+G27+G32</f>
        <v>194717</v>
      </c>
      <c r="H25" s="95">
        <f>SUM(H33:H39)+H31+H30+H27+H32</f>
        <v>162327.2</v>
      </c>
      <c r="I25" s="95">
        <f>SUM(I33:I39)+I31+I30+I27+I32</f>
        <v>32389.8</v>
      </c>
      <c r="J25" s="366"/>
    </row>
    <row r="26" spans="1:10" s="113" customFormat="1" ht="25.5">
      <c r="A26" s="107" t="s">
        <v>230</v>
      </c>
      <c r="B26" s="36"/>
      <c r="C26" s="44"/>
      <c r="D26" s="44"/>
      <c r="E26" s="44"/>
      <c r="F26" s="44"/>
      <c r="G26" s="115"/>
      <c r="H26" s="115"/>
      <c r="I26" s="217"/>
      <c r="J26" s="365"/>
    </row>
    <row r="27" spans="1:10" ht="25.5">
      <c r="A27" s="24" t="s">
        <v>196</v>
      </c>
      <c r="B27" s="25" t="s">
        <v>6</v>
      </c>
      <c r="C27" s="25" t="s">
        <v>278</v>
      </c>
      <c r="D27" s="25" t="s">
        <v>80</v>
      </c>
      <c r="E27" s="25" t="s">
        <v>12</v>
      </c>
      <c r="F27" s="25" t="s">
        <v>162</v>
      </c>
      <c r="G27" s="115">
        <f>5600-5600</f>
        <v>0</v>
      </c>
      <c r="H27" s="116">
        <v>0</v>
      </c>
      <c r="I27" s="79">
        <f>G27-H27</f>
        <v>0</v>
      </c>
      <c r="J27" s="367"/>
    </row>
    <row r="28" spans="1:10" ht="38.25" hidden="1">
      <c r="A28" s="24" t="s">
        <v>202</v>
      </c>
      <c r="B28" s="25" t="s">
        <v>6</v>
      </c>
      <c r="C28" s="25" t="s">
        <v>278</v>
      </c>
      <c r="D28" s="25" t="s">
        <v>206</v>
      </c>
      <c r="E28" s="25" t="s">
        <v>28</v>
      </c>
      <c r="F28" s="25" t="s">
        <v>162</v>
      </c>
      <c r="G28" s="115"/>
      <c r="I28" s="139"/>
      <c r="J28" s="367"/>
    </row>
    <row r="29" spans="1:10" ht="25.5" hidden="1">
      <c r="A29" s="24" t="s">
        <v>197</v>
      </c>
      <c r="B29" s="25" t="s">
        <v>6</v>
      </c>
      <c r="C29" s="25" t="s">
        <v>278</v>
      </c>
      <c r="D29" s="25" t="s">
        <v>206</v>
      </c>
      <c r="E29" s="25" t="s">
        <v>54</v>
      </c>
      <c r="F29" s="25" t="s">
        <v>162</v>
      </c>
      <c r="G29" s="115"/>
      <c r="I29" s="139"/>
      <c r="J29" s="367"/>
    </row>
    <row r="30" spans="1:10" ht="25.5">
      <c r="A30" s="24" t="s">
        <v>361</v>
      </c>
      <c r="B30" s="25" t="s">
        <v>6</v>
      </c>
      <c r="C30" s="25" t="s">
        <v>278</v>
      </c>
      <c r="D30" s="25" t="s">
        <v>80</v>
      </c>
      <c r="E30" s="25" t="s">
        <v>54</v>
      </c>
      <c r="F30" s="25" t="s">
        <v>162</v>
      </c>
      <c r="G30" s="115">
        <f>75760-75760</f>
        <v>0</v>
      </c>
      <c r="H30" s="116">
        <v>0</v>
      </c>
      <c r="I30" s="79">
        <f aca="true" t="shared" si="1" ref="I30:I35">G30-H30</f>
        <v>0</v>
      </c>
      <c r="J30" s="367"/>
    </row>
    <row r="31" spans="1:9" ht="25.5">
      <c r="A31" s="24" t="s">
        <v>361</v>
      </c>
      <c r="B31" s="25" t="s">
        <v>6</v>
      </c>
      <c r="C31" s="25" t="s">
        <v>278</v>
      </c>
      <c r="D31" s="25" t="s">
        <v>206</v>
      </c>
      <c r="E31" s="25" t="s">
        <v>54</v>
      </c>
      <c r="F31" s="25" t="s">
        <v>162</v>
      </c>
      <c r="G31" s="116">
        <v>0</v>
      </c>
      <c r="I31" s="79">
        <f t="shared" si="1"/>
        <v>0</v>
      </c>
    </row>
    <row r="32" spans="1:9" ht="25.5">
      <c r="A32" s="24" t="s">
        <v>419</v>
      </c>
      <c r="B32" s="25" t="s">
        <v>6</v>
      </c>
      <c r="C32" s="25" t="s">
        <v>278</v>
      </c>
      <c r="D32" s="25" t="s">
        <v>206</v>
      </c>
      <c r="E32" s="25" t="s">
        <v>54</v>
      </c>
      <c r="F32" s="25" t="s">
        <v>186</v>
      </c>
      <c r="G32" s="116">
        <f>124500-79000</f>
        <v>45500</v>
      </c>
      <c r="H32" s="116">
        <v>45500</v>
      </c>
      <c r="I32" s="79">
        <f t="shared" si="1"/>
        <v>0</v>
      </c>
    </row>
    <row r="33" spans="1:9" ht="25.5">
      <c r="A33" s="24" t="s">
        <v>361</v>
      </c>
      <c r="B33" s="25" t="s">
        <v>6</v>
      </c>
      <c r="C33" s="25" t="s">
        <v>278</v>
      </c>
      <c r="D33" s="25" t="s">
        <v>206</v>
      </c>
      <c r="E33" s="25" t="s">
        <v>54</v>
      </c>
      <c r="F33" s="25" t="s">
        <v>188</v>
      </c>
      <c r="I33" s="79">
        <f t="shared" si="1"/>
        <v>0</v>
      </c>
    </row>
    <row r="34" spans="1:9" ht="12.75">
      <c r="A34" s="38" t="s">
        <v>65</v>
      </c>
      <c r="B34" s="25" t="s">
        <v>6</v>
      </c>
      <c r="C34" s="25" t="s">
        <v>278</v>
      </c>
      <c r="D34" s="25" t="s">
        <v>125</v>
      </c>
      <c r="E34" s="25" t="s">
        <v>70</v>
      </c>
      <c r="F34" s="25" t="s">
        <v>191</v>
      </c>
      <c r="H34" s="116">
        <v>0</v>
      </c>
      <c r="I34" s="79">
        <f t="shared" si="1"/>
        <v>0</v>
      </c>
    </row>
    <row r="35" spans="1:10" ht="51">
      <c r="A35" s="38" t="s">
        <v>366</v>
      </c>
      <c r="B35" s="25" t="s">
        <v>6</v>
      </c>
      <c r="C35" s="25" t="s">
        <v>278</v>
      </c>
      <c r="D35" s="25" t="s">
        <v>125</v>
      </c>
      <c r="E35" s="25" t="s">
        <v>398</v>
      </c>
      <c r="F35" s="25" t="s">
        <v>193</v>
      </c>
      <c r="G35" s="115">
        <v>0</v>
      </c>
      <c r="I35" s="79">
        <f t="shared" si="1"/>
        <v>0</v>
      </c>
      <c r="J35" s="367"/>
    </row>
    <row r="36" spans="1:11" ht="38.25" hidden="1">
      <c r="A36" s="38" t="s">
        <v>211</v>
      </c>
      <c r="B36" s="25" t="s">
        <v>6</v>
      </c>
      <c r="C36" s="25" t="s">
        <v>278</v>
      </c>
      <c r="D36" s="25" t="s">
        <v>206</v>
      </c>
      <c r="E36" s="25" t="s">
        <v>66</v>
      </c>
      <c r="F36" s="25" t="s">
        <v>190</v>
      </c>
      <c r="G36" s="115"/>
      <c r="I36" s="139"/>
      <c r="J36" s="367"/>
      <c r="K36" s="150"/>
    </row>
    <row r="37" spans="1:12" ht="51" hidden="1">
      <c r="A37" s="38" t="s">
        <v>279</v>
      </c>
      <c r="B37" s="25" t="s">
        <v>6</v>
      </c>
      <c r="C37" s="25" t="s">
        <v>278</v>
      </c>
      <c r="D37" s="25" t="s">
        <v>206</v>
      </c>
      <c r="E37" s="25" t="s">
        <v>400</v>
      </c>
      <c r="F37" s="25" t="s">
        <v>224</v>
      </c>
      <c r="G37" s="115"/>
      <c r="I37" s="79">
        <f>G37-H37</f>
        <v>0</v>
      </c>
      <c r="J37" s="367"/>
      <c r="L37" s="215"/>
    </row>
    <row r="38" spans="1:12" ht="51">
      <c r="A38" s="38" t="s">
        <v>366</v>
      </c>
      <c r="B38" s="25" t="s">
        <v>6</v>
      </c>
      <c r="C38" s="25" t="s">
        <v>278</v>
      </c>
      <c r="D38" s="25" t="s">
        <v>206</v>
      </c>
      <c r="E38" s="25" t="s">
        <v>398</v>
      </c>
      <c r="F38" s="25" t="s">
        <v>193</v>
      </c>
      <c r="G38" s="115">
        <v>47170</v>
      </c>
      <c r="H38" s="116">
        <f>11900+23290</f>
        <v>35190</v>
      </c>
      <c r="I38" s="79">
        <f>G38-H38</f>
        <v>11980</v>
      </c>
      <c r="L38" s="215"/>
    </row>
    <row r="39" spans="1:12" ht="38.25">
      <c r="A39" s="38" t="s">
        <v>605</v>
      </c>
      <c r="B39" s="25" t="s">
        <v>6</v>
      </c>
      <c r="C39" s="25" t="s">
        <v>278</v>
      </c>
      <c r="D39" s="25" t="s">
        <v>206</v>
      </c>
      <c r="E39" s="25" t="s">
        <v>399</v>
      </c>
      <c r="F39" s="25" t="s">
        <v>190</v>
      </c>
      <c r="G39" s="115">
        <f>G40+G41+G44+G45+G42+G43</f>
        <v>102047</v>
      </c>
      <c r="H39" s="115">
        <f>H40+H41+H44+H45+H42+H43</f>
        <v>81637.2</v>
      </c>
      <c r="I39" s="115">
        <f>I40+I41+I44+I45+I42+I43</f>
        <v>20409.8</v>
      </c>
      <c r="J39" s="368"/>
      <c r="L39" s="215"/>
    </row>
    <row r="40" spans="1:12" ht="12.75">
      <c r="A40" s="421" t="s">
        <v>606</v>
      </c>
      <c r="B40" s="42"/>
      <c r="C40" s="42"/>
      <c r="D40" s="42"/>
      <c r="E40" s="42"/>
      <c r="F40" s="42"/>
      <c r="G40" s="163">
        <f>27273.3</f>
        <v>27273.3</v>
      </c>
      <c r="H40" s="98">
        <v>27186.2</v>
      </c>
      <c r="I40" s="98">
        <f aca="true" t="shared" si="2" ref="I40:I45">G40-H40</f>
        <v>87.09999999999854</v>
      </c>
      <c r="J40" s="368"/>
      <c r="L40" s="215"/>
    </row>
    <row r="41" spans="1:12" ht="25.5">
      <c r="A41" s="421" t="s">
        <v>708</v>
      </c>
      <c r="B41" s="42"/>
      <c r="C41" s="42"/>
      <c r="D41" s="42"/>
      <c r="E41" s="42"/>
      <c r="F41" s="42"/>
      <c r="G41" s="163">
        <f>15006.24-1168.24</f>
        <v>13838</v>
      </c>
      <c r="H41" s="98">
        <v>13838</v>
      </c>
      <c r="I41" s="98">
        <f t="shared" si="2"/>
        <v>0</v>
      </c>
      <c r="J41" s="368"/>
      <c r="L41" s="215"/>
    </row>
    <row r="42" spans="1:12" ht="25.5">
      <c r="A42" s="421" t="s">
        <v>733</v>
      </c>
      <c r="B42" s="42"/>
      <c r="C42" s="42"/>
      <c r="D42" s="42"/>
      <c r="E42" s="42"/>
      <c r="F42" s="42"/>
      <c r="G42" s="163">
        <f>18012.97-1097.97</f>
        <v>16915</v>
      </c>
      <c r="H42" s="98">
        <v>16915</v>
      </c>
      <c r="I42" s="98">
        <f t="shared" si="2"/>
        <v>0</v>
      </c>
      <c r="J42" s="368"/>
      <c r="L42" s="215"/>
    </row>
    <row r="43" spans="1:12" ht="38.25">
      <c r="A43" s="421" t="s">
        <v>759</v>
      </c>
      <c r="B43" s="42"/>
      <c r="C43" s="42"/>
      <c r="D43" s="42"/>
      <c r="E43" s="42"/>
      <c r="F43" s="42"/>
      <c r="G43" s="163">
        <v>23698</v>
      </c>
      <c r="H43" s="98">
        <v>23698</v>
      </c>
      <c r="I43" s="98">
        <f t="shared" si="2"/>
        <v>0</v>
      </c>
      <c r="J43" s="368"/>
      <c r="L43" s="215"/>
    </row>
    <row r="44" spans="1:12" ht="12.75">
      <c r="A44" s="421" t="s">
        <v>609</v>
      </c>
      <c r="B44" s="42"/>
      <c r="C44" s="42"/>
      <c r="D44" s="42"/>
      <c r="E44" s="42"/>
      <c r="F44" s="42"/>
      <c r="G44" s="163">
        <f>23698-3375.3</f>
        <v>20322.7</v>
      </c>
      <c r="H44" s="98"/>
      <c r="I44" s="98">
        <f t="shared" si="2"/>
        <v>20322.7</v>
      </c>
      <c r="J44" s="368"/>
      <c r="L44" s="215"/>
    </row>
    <row r="45" spans="1:12" ht="12.75">
      <c r="A45" s="421"/>
      <c r="B45" s="42"/>
      <c r="C45" s="42"/>
      <c r="D45" s="42"/>
      <c r="E45" s="42"/>
      <c r="F45" s="42"/>
      <c r="G45" s="163"/>
      <c r="H45" s="98"/>
      <c r="I45" s="98">
        <f t="shared" si="2"/>
        <v>0</v>
      </c>
      <c r="J45" s="368"/>
      <c r="L45" s="215"/>
    </row>
    <row r="46" spans="1:11" s="12" customFormat="1" ht="30" customHeight="1">
      <c r="A46" s="74" t="s">
        <v>89</v>
      </c>
      <c r="B46" s="50" t="s">
        <v>90</v>
      </c>
      <c r="C46" s="50"/>
      <c r="D46" s="50"/>
      <c r="E46" s="50"/>
      <c r="F46" s="50"/>
      <c r="G46" s="96">
        <f>G48+G50+G52+G73+G168+G190+G191</f>
        <v>139140935.64000002</v>
      </c>
      <c r="H46" s="96">
        <f>H48+H50+H52+H73+H168+H190+H191</f>
        <v>135515870.69</v>
      </c>
      <c r="I46" s="96">
        <f>I48+I50+I52+I73+I168+I190+I191</f>
        <v>3447737.550000003</v>
      </c>
      <c r="J46" s="369">
        <f>H46-135515870.69</f>
        <v>0</v>
      </c>
      <c r="K46" s="416"/>
    </row>
    <row r="47" spans="1:10" s="111" customFormat="1" ht="24" customHeight="1">
      <c r="A47" s="106" t="s">
        <v>231</v>
      </c>
      <c r="B47" s="36"/>
      <c r="C47" s="36"/>
      <c r="D47" s="36"/>
      <c r="E47" s="36"/>
      <c r="F47" s="36"/>
      <c r="G47" s="117"/>
      <c r="H47" s="117"/>
      <c r="I47" s="218"/>
      <c r="J47" s="370"/>
    </row>
    <row r="48" spans="1:10" s="111" customFormat="1" ht="24" customHeight="1">
      <c r="A48" s="179" t="s">
        <v>396</v>
      </c>
      <c r="B48" s="181" t="s">
        <v>90</v>
      </c>
      <c r="C48" s="181" t="s">
        <v>562</v>
      </c>
      <c r="D48" s="181" t="s">
        <v>206</v>
      </c>
      <c r="E48" s="181" t="s">
        <v>54</v>
      </c>
      <c r="F48" s="181" t="s">
        <v>186</v>
      </c>
      <c r="G48" s="188">
        <f>210000-111600</f>
        <v>98400</v>
      </c>
      <c r="H48" s="417">
        <f>21000+43400+18500+15500</f>
        <v>98400</v>
      </c>
      <c r="I48" s="256">
        <f>G48-H48</f>
        <v>0</v>
      </c>
      <c r="J48" s="367"/>
    </row>
    <row r="49" spans="1:10" s="111" customFormat="1" ht="24" customHeight="1" hidden="1">
      <c r="A49" s="179" t="s">
        <v>280</v>
      </c>
      <c r="B49" s="181" t="s">
        <v>90</v>
      </c>
      <c r="C49" s="181" t="s">
        <v>380</v>
      </c>
      <c r="D49" s="181" t="s">
        <v>206</v>
      </c>
      <c r="E49" s="181" t="s">
        <v>54</v>
      </c>
      <c r="F49" s="181" t="s">
        <v>186</v>
      </c>
      <c r="G49" s="188">
        <v>0</v>
      </c>
      <c r="H49" s="188"/>
      <c r="I49" s="256">
        <f>G49-H49</f>
        <v>0</v>
      </c>
      <c r="J49" s="370"/>
    </row>
    <row r="50" spans="1:12" s="111" customFormat="1" ht="32.25" customHeight="1">
      <c r="A50" s="179" t="s">
        <v>603</v>
      </c>
      <c r="B50" s="181" t="s">
        <v>90</v>
      </c>
      <c r="C50" s="181" t="s">
        <v>566</v>
      </c>
      <c r="D50" s="181" t="s">
        <v>206</v>
      </c>
      <c r="E50" s="181" t="s">
        <v>43</v>
      </c>
      <c r="F50" s="181" t="s">
        <v>182</v>
      </c>
      <c r="G50" s="188">
        <v>599470</v>
      </c>
      <c r="H50" s="188">
        <v>503467.64</v>
      </c>
      <c r="I50" s="256">
        <f>G50-H50</f>
        <v>96002.35999999999</v>
      </c>
      <c r="J50" s="367"/>
      <c r="K50" s="418"/>
      <c r="L50" s="418"/>
    </row>
    <row r="51" spans="1:10" s="111" customFormat="1" ht="24" customHeight="1">
      <c r="A51" s="107" t="s">
        <v>230</v>
      </c>
      <c r="B51" s="110"/>
      <c r="C51" s="110"/>
      <c r="D51" s="110"/>
      <c r="E51" s="110"/>
      <c r="F51" s="110"/>
      <c r="G51" s="117"/>
      <c r="H51" s="117"/>
      <c r="I51" s="218"/>
      <c r="J51" s="370"/>
    </row>
    <row r="52" spans="1:10" s="111" customFormat="1" ht="31.5" customHeight="1">
      <c r="A52" s="45" t="s">
        <v>293</v>
      </c>
      <c r="B52" s="167" t="s">
        <v>90</v>
      </c>
      <c r="C52" s="167" t="s">
        <v>278</v>
      </c>
      <c r="D52" s="167" t="s">
        <v>294</v>
      </c>
      <c r="E52" s="167"/>
      <c r="F52" s="167"/>
      <c r="G52" s="168">
        <f>G54+G59+G53</f>
        <v>121105536.96000001</v>
      </c>
      <c r="H52" s="168">
        <f>H54+H59+H53</f>
        <v>120158188.34</v>
      </c>
      <c r="I52" s="168">
        <f>I54+I59+I53</f>
        <v>947348.6200000038</v>
      </c>
      <c r="J52" s="369"/>
    </row>
    <row r="53" spans="1:10" s="111" customFormat="1" ht="31.5" customHeight="1" hidden="1">
      <c r="A53" s="45"/>
      <c r="B53" s="26" t="s">
        <v>90</v>
      </c>
      <c r="C53" s="44" t="s">
        <v>278</v>
      </c>
      <c r="D53" s="99" t="s">
        <v>80</v>
      </c>
      <c r="E53" s="99" t="s">
        <v>410</v>
      </c>
      <c r="F53" s="249"/>
      <c r="G53" s="250">
        <v>0</v>
      </c>
      <c r="H53" s="250"/>
      <c r="I53" s="168">
        <f>G53-H53</f>
        <v>0</v>
      </c>
      <c r="J53" s="370"/>
    </row>
    <row r="54" spans="1:10" s="111" customFormat="1" ht="24" customHeight="1">
      <c r="A54" s="166" t="s">
        <v>289</v>
      </c>
      <c r="B54" s="167" t="s">
        <v>90</v>
      </c>
      <c r="C54" s="36" t="s">
        <v>278</v>
      </c>
      <c r="D54" s="167"/>
      <c r="E54" s="167"/>
      <c r="F54" s="167"/>
      <c r="G54" s="168">
        <f>G55+G57+G56+G58</f>
        <v>115550588.9</v>
      </c>
      <c r="H54" s="168">
        <f>H55+H57+H56+H58</f>
        <v>114819556.46000001</v>
      </c>
      <c r="I54" s="168">
        <f>I55+I57+I56+I58</f>
        <v>731032.4400000037</v>
      </c>
      <c r="J54" s="370"/>
    </row>
    <row r="55" spans="1:10" s="10" customFormat="1" ht="12.75">
      <c r="A55" s="29" t="s">
        <v>10</v>
      </c>
      <c r="B55" s="44" t="s">
        <v>90</v>
      </c>
      <c r="C55" s="44" t="s">
        <v>278</v>
      </c>
      <c r="D55" s="44" t="s">
        <v>74</v>
      </c>
      <c r="E55" s="35" t="s">
        <v>11</v>
      </c>
      <c r="F55" s="35"/>
      <c r="G55" s="115">
        <v>89280980.17</v>
      </c>
      <c r="H55" s="115">
        <v>89110624.11</v>
      </c>
      <c r="I55" s="115">
        <f>G55-H55</f>
        <v>170356.06000000238</v>
      </c>
      <c r="J55" s="371"/>
    </row>
    <row r="56" spans="1:10" s="10" customFormat="1" ht="12.75">
      <c r="A56" s="29" t="s">
        <v>10</v>
      </c>
      <c r="B56" s="44" t="s">
        <v>90</v>
      </c>
      <c r="C56" s="44" t="s">
        <v>278</v>
      </c>
      <c r="D56" s="44" t="s">
        <v>74</v>
      </c>
      <c r="E56" s="35" t="s">
        <v>410</v>
      </c>
      <c r="F56" s="35"/>
      <c r="G56" s="274">
        <v>323030.2</v>
      </c>
      <c r="H56" s="115">
        <v>295347.51</v>
      </c>
      <c r="I56" s="115">
        <f>G56-H56</f>
        <v>27682.690000000002</v>
      </c>
      <c r="J56" s="372"/>
    </row>
    <row r="57" spans="1:9" ht="25.5">
      <c r="A57" s="39" t="s">
        <v>15</v>
      </c>
      <c r="B57" s="26" t="s">
        <v>90</v>
      </c>
      <c r="C57" s="44" t="s">
        <v>278</v>
      </c>
      <c r="D57" s="99" t="s">
        <v>409</v>
      </c>
      <c r="E57" s="99" t="s">
        <v>16</v>
      </c>
      <c r="F57" s="272"/>
      <c r="G57" s="115">
        <f>26533255-621686+892211.27-857201.74</f>
        <v>25946578.53</v>
      </c>
      <c r="H57" s="273">
        <v>25413584.84</v>
      </c>
      <c r="I57" s="115">
        <f>G57-H57</f>
        <v>532993.6900000013</v>
      </c>
    </row>
    <row r="58" spans="1:9" ht="12.75" hidden="1">
      <c r="A58" s="39" t="s">
        <v>15</v>
      </c>
      <c r="B58" s="26" t="s">
        <v>90</v>
      </c>
      <c r="C58" s="44" t="s">
        <v>278</v>
      </c>
      <c r="D58" s="99" t="s">
        <v>80</v>
      </c>
      <c r="E58" s="99" t="s">
        <v>410</v>
      </c>
      <c r="F58" s="99"/>
      <c r="G58" s="275">
        <f>150000-150000</f>
        <v>0</v>
      </c>
      <c r="H58" s="115"/>
      <c r="I58" s="115">
        <f>G58-H58</f>
        <v>0</v>
      </c>
    </row>
    <row r="59" spans="1:9" ht="31.5" customHeight="1">
      <c r="A59" s="171" t="s">
        <v>290</v>
      </c>
      <c r="B59" s="169" t="s">
        <v>90</v>
      </c>
      <c r="C59" s="36" t="s">
        <v>278</v>
      </c>
      <c r="D59" s="169" t="s">
        <v>80</v>
      </c>
      <c r="E59" s="169"/>
      <c r="F59" s="169"/>
      <c r="G59" s="112">
        <f>G60+G62+G63+G66+G67+G69+G64+G68+G65+G70+G72+G71</f>
        <v>5554948.0600000005</v>
      </c>
      <c r="H59" s="112">
        <f>H60+H62+H63+H66+H67+H69+H64+H68+H65+H70+H72+H71</f>
        <v>5338631.88</v>
      </c>
      <c r="I59" s="112">
        <f>I60+I62+I63+I66+I67+I69+I64+I68+I65+I70+I72+I71</f>
        <v>216316.1800000001</v>
      </c>
    </row>
    <row r="60" spans="1:11" ht="27.75" customHeight="1">
      <c r="A60" s="39" t="s">
        <v>196</v>
      </c>
      <c r="B60" s="99" t="s">
        <v>90</v>
      </c>
      <c r="C60" s="44" t="s">
        <v>278</v>
      </c>
      <c r="D60" s="99" t="s">
        <v>80</v>
      </c>
      <c r="E60" s="99" t="s">
        <v>12</v>
      </c>
      <c r="F60" s="99" t="s">
        <v>162</v>
      </c>
      <c r="G60" s="115">
        <f>176400-15000</f>
        <v>161400</v>
      </c>
      <c r="H60" s="115">
        <v>139300</v>
      </c>
      <c r="I60" s="83">
        <f>G60-H60</f>
        <v>22100</v>
      </c>
      <c r="J60" s="367"/>
      <c r="K60" s="284"/>
    </row>
    <row r="61" spans="1:10" s="10" customFormat="1" ht="25.5" hidden="1">
      <c r="A61" s="34" t="s">
        <v>15</v>
      </c>
      <c r="B61" s="44" t="s">
        <v>90</v>
      </c>
      <c r="C61" s="44" t="s">
        <v>278</v>
      </c>
      <c r="D61" s="44" t="s">
        <v>74</v>
      </c>
      <c r="E61" s="35" t="s">
        <v>16</v>
      </c>
      <c r="F61" s="35"/>
      <c r="G61" s="115"/>
      <c r="H61" s="115"/>
      <c r="I61" s="81">
        <f aca="true" t="shared" si="3" ref="I61:I72">G61-H61</f>
        <v>0</v>
      </c>
      <c r="J61" s="372"/>
    </row>
    <row r="62" spans="1:10" s="10" customFormat="1" ht="38.25" customHeight="1" hidden="1">
      <c r="A62" s="37" t="s">
        <v>291</v>
      </c>
      <c r="B62" s="44" t="s">
        <v>90</v>
      </c>
      <c r="C62" s="44" t="s">
        <v>278</v>
      </c>
      <c r="D62" s="44" t="s">
        <v>80</v>
      </c>
      <c r="E62" s="35" t="s">
        <v>28</v>
      </c>
      <c r="F62" s="35" t="s">
        <v>162</v>
      </c>
      <c r="G62" s="115"/>
      <c r="H62" s="115"/>
      <c r="I62" s="81">
        <f t="shared" si="3"/>
        <v>0</v>
      </c>
      <c r="J62" s="372"/>
    </row>
    <row r="63" spans="1:10" s="10" customFormat="1" ht="39" customHeight="1" hidden="1">
      <c r="A63" s="37" t="s">
        <v>292</v>
      </c>
      <c r="B63" s="44" t="s">
        <v>90</v>
      </c>
      <c r="C63" s="44" t="s">
        <v>278</v>
      </c>
      <c r="D63" s="44" t="s">
        <v>80</v>
      </c>
      <c r="E63" s="35" t="s">
        <v>54</v>
      </c>
      <c r="F63" s="35" t="s">
        <v>162</v>
      </c>
      <c r="G63" s="115"/>
      <c r="H63" s="115"/>
      <c r="I63" s="81">
        <f t="shared" si="3"/>
        <v>0</v>
      </c>
      <c r="J63" s="372"/>
    </row>
    <row r="64" spans="1:10" s="10" customFormat="1" ht="30.75" customHeight="1">
      <c r="A64" s="170" t="s">
        <v>167</v>
      </c>
      <c r="B64" s="26" t="s">
        <v>90</v>
      </c>
      <c r="C64" s="44" t="s">
        <v>278</v>
      </c>
      <c r="D64" s="26" t="s">
        <v>80</v>
      </c>
      <c r="E64" s="99" t="s">
        <v>401</v>
      </c>
      <c r="F64" s="99" t="s">
        <v>160</v>
      </c>
      <c r="G64" s="115">
        <f>2961440-20500+295657.68-105000</f>
        <v>3131597.68</v>
      </c>
      <c r="H64" s="115">
        <v>3129635.15</v>
      </c>
      <c r="I64" s="115">
        <f>G64-H64</f>
        <v>1962.5300000002608</v>
      </c>
      <c r="J64" s="397"/>
    </row>
    <row r="65" spans="1:10" s="10" customFormat="1" ht="30.75" customHeight="1">
      <c r="A65" s="170" t="s">
        <v>718</v>
      </c>
      <c r="B65" s="26" t="s">
        <v>90</v>
      </c>
      <c r="C65" s="44" t="s">
        <v>278</v>
      </c>
      <c r="D65" s="26" t="s">
        <v>80</v>
      </c>
      <c r="E65" s="99" t="s">
        <v>28</v>
      </c>
      <c r="F65" s="99" t="s">
        <v>177</v>
      </c>
      <c r="G65" s="115">
        <v>20500</v>
      </c>
      <c r="H65" s="115">
        <v>0</v>
      </c>
      <c r="I65" s="115">
        <f>G65-H65</f>
        <v>20500</v>
      </c>
      <c r="J65" s="372"/>
    </row>
    <row r="66" spans="1:14" s="10" customFormat="1" ht="30.75" customHeight="1">
      <c r="A66" s="39" t="s">
        <v>403</v>
      </c>
      <c r="B66" s="44" t="s">
        <v>90</v>
      </c>
      <c r="C66" s="44" t="s">
        <v>278</v>
      </c>
      <c r="D66" s="44" t="s">
        <v>80</v>
      </c>
      <c r="E66" s="35" t="s">
        <v>54</v>
      </c>
      <c r="F66" s="35" t="s">
        <v>162</v>
      </c>
      <c r="G66" s="115">
        <f>655480-110000-30000-16000</f>
        <v>499480</v>
      </c>
      <c r="H66" s="473">
        <f>381576-18095.09</f>
        <v>363480.91</v>
      </c>
      <c r="I66" s="83">
        <f t="shared" si="3"/>
        <v>135999.09000000003</v>
      </c>
      <c r="J66" s="367"/>
      <c r="K66" s="246"/>
      <c r="L66" s="246"/>
      <c r="M66" s="246"/>
      <c r="N66" s="246"/>
    </row>
    <row r="67" spans="1:10" s="10" customFormat="1" ht="28.5" customHeight="1" hidden="1">
      <c r="A67" s="39" t="s">
        <v>65</v>
      </c>
      <c r="B67" s="44" t="s">
        <v>90</v>
      </c>
      <c r="C67" s="44" t="s">
        <v>278</v>
      </c>
      <c r="D67" s="44" t="s">
        <v>80</v>
      </c>
      <c r="E67" s="35" t="s">
        <v>54</v>
      </c>
      <c r="F67" s="35" t="s">
        <v>216</v>
      </c>
      <c r="G67" s="115"/>
      <c r="H67" s="115"/>
      <c r="I67" s="81">
        <f t="shared" si="3"/>
        <v>0</v>
      </c>
      <c r="J67" s="372"/>
    </row>
    <row r="68" spans="1:10" s="10" customFormat="1" ht="28.5" customHeight="1" hidden="1">
      <c r="A68" s="39" t="s">
        <v>415</v>
      </c>
      <c r="B68" s="44" t="s">
        <v>90</v>
      </c>
      <c r="C68" s="44" t="s">
        <v>278</v>
      </c>
      <c r="D68" s="44" t="s">
        <v>80</v>
      </c>
      <c r="E68" s="35" t="s">
        <v>410</v>
      </c>
      <c r="F68" s="35"/>
      <c r="G68" s="115"/>
      <c r="H68" s="115"/>
      <c r="I68" s="81">
        <f t="shared" si="3"/>
        <v>0</v>
      </c>
      <c r="J68" s="372"/>
    </row>
    <row r="69" spans="1:10" s="10" customFormat="1" ht="28.5" customHeight="1">
      <c r="A69" s="29" t="s">
        <v>784</v>
      </c>
      <c r="B69" s="44" t="s">
        <v>90</v>
      </c>
      <c r="C69" s="44" t="s">
        <v>278</v>
      </c>
      <c r="D69" s="44" t="s">
        <v>80</v>
      </c>
      <c r="E69" s="35" t="s">
        <v>402</v>
      </c>
      <c r="F69" s="35" t="s">
        <v>216</v>
      </c>
      <c r="G69" s="115">
        <f>574920.5+150000+200000+335900-200000+43013.21+400000+135000+16000+27136.67</f>
        <v>1681970.38</v>
      </c>
      <c r="H69" s="115">
        <v>1651696.82</v>
      </c>
      <c r="I69" s="448">
        <f t="shared" si="3"/>
        <v>30273.559999999823</v>
      </c>
      <c r="J69" s="371"/>
    </row>
    <row r="70" spans="1:10" s="10" customFormat="1" ht="28.5" customHeight="1" hidden="1">
      <c r="A70" s="29"/>
      <c r="B70" s="26" t="s">
        <v>90</v>
      </c>
      <c r="C70" s="44" t="s">
        <v>278</v>
      </c>
      <c r="D70" s="99" t="s">
        <v>80</v>
      </c>
      <c r="E70" s="99" t="s">
        <v>401</v>
      </c>
      <c r="F70" s="99" t="s">
        <v>177</v>
      </c>
      <c r="G70" s="115"/>
      <c r="H70" s="115"/>
      <c r="I70" s="81">
        <f t="shared" si="3"/>
        <v>0</v>
      </c>
      <c r="J70" s="371"/>
    </row>
    <row r="71" spans="1:10" s="10" customFormat="1" ht="28.5" customHeight="1" hidden="1">
      <c r="A71" s="29" t="s">
        <v>469</v>
      </c>
      <c r="B71" s="26"/>
      <c r="C71" s="44"/>
      <c r="D71" s="99"/>
      <c r="E71" s="99"/>
      <c r="F71" s="99"/>
      <c r="G71" s="115"/>
      <c r="H71" s="115"/>
      <c r="I71" s="448">
        <f t="shared" si="3"/>
        <v>0</v>
      </c>
      <c r="J71" s="371"/>
    </row>
    <row r="72" spans="1:10" s="10" customFormat="1" ht="28.5" customHeight="1">
      <c r="A72" s="29" t="s">
        <v>433</v>
      </c>
      <c r="B72" s="26" t="s">
        <v>90</v>
      </c>
      <c r="C72" s="44" t="s">
        <v>278</v>
      </c>
      <c r="D72" s="99" t="s">
        <v>80</v>
      </c>
      <c r="E72" s="99" t="s">
        <v>54</v>
      </c>
      <c r="F72" s="99" t="s">
        <v>188</v>
      </c>
      <c r="G72" s="115">
        <f>50000+10000</f>
        <v>60000</v>
      </c>
      <c r="H72" s="115">
        <f>7682+6472+4296+6886+9290+6758+6796+6339</f>
        <v>54519</v>
      </c>
      <c r="I72" s="83">
        <f t="shared" si="3"/>
        <v>5481</v>
      </c>
      <c r="J72" s="371"/>
    </row>
    <row r="73" spans="1:10" s="9" customFormat="1" ht="25.5">
      <c r="A73" s="32" t="s">
        <v>282</v>
      </c>
      <c r="B73" s="36" t="s">
        <v>90</v>
      </c>
      <c r="C73" s="36" t="s">
        <v>278</v>
      </c>
      <c r="D73" s="36" t="s">
        <v>281</v>
      </c>
      <c r="E73" s="33"/>
      <c r="F73" s="33"/>
      <c r="G73" s="84">
        <f>G74+G102</f>
        <v>17171462.09</v>
      </c>
      <c r="H73" s="84">
        <f>H74+H102</f>
        <v>14589745.12</v>
      </c>
      <c r="I73" s="80">
        <f>I74+I102</f>
        <v>2404389.5699999994</v>
      </c>
      <c r="J73" s="387"/>
    </row>
    <row r="74" spans="1:10" s="9" customFormat="1" ht="51">
      <c r="A74" s="32" t="s">
        <v>286</v>
      </c>
      <c r="B74" s="36" t="s">
        <v>90</v>
      </c>
      <c r="C74" s="36" t="s">
        <v>278</v>
      </c>
      <c r="D74" s="36" t="s">
        <v>125</v>
      </c>
      <c r="E74" s="33"/>
      <c r="F74" s="33"/>
      <c r="G74" s="84">
        <f>G75+G77+G78+G97+G98</f>
        <v>3624237.64</v>
      </c>
      <c r="H74" s="84">
        <f>H75+H77+H78+H97+H98+H99+H76+H93</f>
        <v>3066276.48</v>
      </c>
      <c r="I74" s="84">
        <f>I75+I77+I78+I97+I98+I99+I76+I93</f>
        <v>562913.1599999999</v>
      </c>
      <c r="J74" s="373"/>
    </row>
    <row r="75" spans="1:10" s="10" customFormat="1" ht="12.75">
      <c r="A75" s="29" t="s">
        <v>88</v>
      </c>
      <c r="B75" s="44" t="s">
        <v>90</v>
      </c>
      <c r="C75" s="44" t="s">
        <v>278</v>
      </c>
      <c r="D75" s="44" t="s">
        <v>125</v>
      </c>
      <c r="E75" s="44" t="s">
        <v>26</v>
      </c>
      <c r="F75" s="44"/>
      <c r="G75" s="122">
        <f>472524-37800+891.62</f>
        <v>435615.62</v>
      </c>
      <c r="H75" s="238">
        <v>389038.98</v>
      </c>
      <c r="I75" s="81">
        <f>G75-H75</f>
        <v>46576.640000000014</v>
      </c>
      <c r="J75" s="374"/>
    </row>
    <row r="76" spans="1:10" s="10" customFormat="1" ht="25.5" hidden="1">
      <c r="A76" s="29" t="s">
        <v>420</v>
      </c>
      <c r="B76" s="44" t="s">
        <v>90</v>
      </c>
      <c r="C76" s="44" t="s">
        <v>278</v>
      </c>
      <c r="D76" s="44" t="s">
        <v>125</v>
      </c>
      <c r="E76" s="25" t="s">
        <v>43</v>
      </c>
      <c r="F76" s="25" t="s">
        <v>182</v>
      </c>
      <c r="G76" s="122"/>
      <c r="H76" s="238"/>
      <c r="I76" s="81">
        <f>G76-H76</f>
        <v>0</v>
      </c>
      <c r="J76" s="247"/>
    </row>
    <row r="77" spans="1:10" s="10" customFormat="1" ht="38.25">
      <c r="A77" s="29" t="s">
        <v>283</v>
      </c>
      <c r="B77" s="44" t="s">
        <v>90</v>
      </c>
      <c r="C77" s="44" t="s">
        <v>278</v>
      </c>
      <c r="D77" s="44" t="s">
        <v>125</v>
      </c>
      <c r="E77" s="25" t="s">
        <v>43</v>
      </c>
      <c r="F77" s="25" t="s">
        <v>184</v>
      </c>
      <c r="G77" s="122">
        <v>525936</v>
      </c>
      <c r="H77" s="122">
        <v>442150.53</v>
      </c>
      <c r="I77" s="81">
        <f>G77-H77</f>
        <v>83785.46999999997</v>
      </c>
      <c r="J77" s="374"/>
    </row>
    <row r="78" spans="1:10" s="10" customFormat="1" ht="38.25">
      <c r="A78" s="27" t="s">
        <v>173</v>
      </c>
      <c r="B78" s="36" t="s">
        <v>90</v>
      </c>
      <c r="C78" s="36" t="s">
        <v>278</v>
      </c>
      <c r="D78" s="36" t="s">
        <v>125</v>
      </c>
      <c r="E78" s="28" t="s">
        <v>54</v>
      </c>
      <c r="F78" s="28" t="s">
        <v>187</v>
      </c>
      <c r="G78" s="93">
        <f>G79+G80+G81+G82+G83+G84+G85+G86+G87+G88+G92+G89+G90+G91+G94+G96+G95</f>
        <v>1623452</v>
      </c>
      <c r="H78" s="93">
        <v>1249153.95</v>
      </c>
      <c r="I78" s="93">
        <f>I79+I80+I81+I82+I83+I84+I85+I86+I87+I88+I92+I89+I90+I91+I94+I96+I95</f>
        <v>379250.05</v>
      </c>
      <c r="J78" s="374"/>
    </row>
    <row r="79" spans="1:10" s="10" customFormat="1" ht="45" hidden="1">
      <c r="A79" s="288" t="s">
        <v>449</v>
      </c>
      <c r="B79" s="44"/>
      <c r="C79" s="44"/>
      <c r="D79" s="44"/>
      <c r="E79" s="25"/>
      <c r="F79" s="25"/>
      <c r="G79" s="122">
        <v>96134.5</v>
      </c>
      <c r="H79" s="122">
        <f>96134.5</f>
        <v>96134.5</v>
      </c>
      <c r="I79" s="292">
        <f aca="true" t="shared" si="4" ref="I79:I97">G79-H79</f>
        <v>0</v>
      </c>
      <c r="J79" s="372"/>
    </row>
    <row r="80" spans="1:10" s="10" customFormat="1" ht="45" hidden="1">
      <c r="A80" s="288" t="s">
        <v>636</v>
      </c>
      <c r="B80" s="44"/>
      <c r="C80" s="44"/>
      <c r="D80" s="44"/>
      <c r="E80" s="25"/>
      <c r="F80" s="25"/>
      <c r="G80" s="122">
        <v>20784</v>
      </c>
      <c r="H80" s="122">
        <f>20784</f>
        <v>20784</v>
      </c>
      <c r="I80" s="292">
        <f t="shared" si="4"/>
        <v>0</v>
      </c>
      <c r="J80" s="372"/>
    </row>
    <row r="81" spans="1:10" s="10" customFormat="1" ht="15.75" customHeight="1" hidden="1">
      <c r="A81" s="289" t="s">
        <v>515</v>
      </c>
      <c r="B81" s="44"/>
      <c r="C81" s="44"/>
      <c r="D81" s="44"/>
      <c r="E81" s="25"/>
      <c r="F81" s="25"/>
      <c r="G81" s="122">
        <f>144200+49896</f>
        <v>194096</v>
      </c>
      <c r="H81" s="122">
        <f>45000+99200+49896</f>
        <v>194096</v>
      </c>
      <c r="I81" s="292">
        <f t="shared" si="4"/>
        <v>0</v>
      </c>
      <c r="J81" s="372"/>
    </row>
    <row r="82" spans="1:10" s="10" customFormat="1" ht="36" customHeight="1" hidden="1">
      <c r="A82" s="288" t="s">
        <v>612</v>
      </c>
      <c r="B82" s="44"/>
      <c r="C82" s="44"/>
      <c r="D82" s="44"/>
      <c r="E82" s="25"/>
      <c r="F82" s="25"/>
      <c r="G82" s="122">
        <f>150675.09+49686.36</f>
        <v>200361.45</v>
      </c>
      <c r="H82" s="122">
        <f>49686.36+150675.09</f>
        <v>200361.45</v>
      </c>
      <c r="I82" s="292">
        <f t="shared" si="4"/>
        <v>0</v>
      </c>
      <c r="J82" s="372"/>
    </row>
    <row r="83" spans="1:10" s="10" customFormat="1" ht="15.75" customHeight="1" hidden="1">
      <c r="A83" s="288" t="s">
        <v>450</v>
      </c>
      <c r="B83" s="44"/>
      <c r="C83" s="44"/>
      <c r="D83" s="44"/>
      <c r="E83" s="25"/>
      <c r="F83" s="25"/>
      <c r="G83" s="122"/>
      <c r="H83" s="122"/>
      <c r="I83" s="292">
        <f t="shared" si="4"/>
        <v>0</v>
      </c>
      <c r="J83" s="372"/>
    </row>
    <row r="84" spans="1:10" s="10" customFormat="1" ht="30.75" customHeight="1" hidden="1">
      <c r="A84" s="288" t="s">
        <v>635</v>
      </c>
      <c r="B84" s="44"/>
      <c r="C84" s="44"/>
      <c r="D84" s="44"/>
      <c r="E84" s="25"/>
      <c r="F84" s="25"/>
      <c r="G84" s="122">
        <v>97200</v>
      </c>
      <c r="H84" s="122">
        <f>97200</f>
        <v>97200</v>
      </c>
      <c r="I84" s="292">
        <f t="shared" si="4"/>
        <v>0</v>
      </c>
      <c r="J84" s="372"/>
    </row>
    <row r="85" spans="1:10" s="10" customFormat="1" ht="17.25" customHeight="1" hidden="1" thickBot="1">
      <c r="A85" s="290" t="s">
        <v>451</v>
      </c>
      <c r="B85" s="44"/>
      <c r="C85" s="44"/>
      <c r="D85" s="44"/>
      <c r="E85" s="25"/>
      <c r="F85" s="25"/>
      <c r="G85" s="122"/>
      <c r="H85" s="122"/>
      <c r="I85" s="292">
        <f t="shared" si="4"/>
        <v>0</v>
      </c>
      <c r="J85" s="372"/>
    </row>
    <row r="86" spans="1:10" s="10" customFormat="1" ht="29.25" customHeight="1" hidden="1" thickBot="1">
      <c r="A86" s="290" t="s">
        <v>452</v>
      </c>
      <c r="B86" s="44"/>
      <c r="C86" s="44"/>
      <c r="D86" s="44"/>
      <c r="E86" s="25"/>
      <c r="F86" s="25"/>
      <c r="G86" s="122">
        <v>226800</v>
      </c>
      <c r="H86" s="122">
        <v>226800</v>
      </c>
      <c r="I86" s="292">
        <f t="shared" si="4"/>
        <v>0</v>
      </c>
      <c r="J86" s="372"/>
    </row>
    <row r="87" spans="1:10" s="10" customFormat="1" ht="33.75" customHeight="1" hidden="1">
      <c r="A87" s="398" t="s">
        <v>453</v>
      </c>
      <c r="B87" s="44"/>
      <c r="C87" s="44"/>
      <c r="D87" s="44"/>
      <c r="E87" s="25"/>
      <c r="F87" s="25"/>
      <c r="G87" s="122">
        <v>86149</v>
      </c>
      <c r="H87" s="122">
        <v>86149</v>
      </c>
      <c r="I87" s="292">
        <f t="shared" si="4"/>
        <v>0</v>
      </c>
      <c r="J87" s="372"/>
    </row>
    <row r="88" spans="1:10" s="10" customFormat="1" ht="18.75" customHeight="1" hidden="1">
      <c r="A88" s="289" t="s">
        <v>634</v>
      </c>
      <c r="B88" s="44"/>
      <c r="C88" s="44"/>
      <c r="D88" s="44"/>
      <c r="E88" s="25"/>
      <c r="F88" s="25"/>
      <c r="G88" s="122">
        <v>41000</v>
      </c>
      <c r="H88" s="122">
        <f>41000</f>
        <v>41000</v>
      </c>
      <c r="I88" s="292">
        <f t="shared" si="4"/>
        <v>0</v>
      </c>
      <c r="J88" s="372"/>
    </row>
    <row r="89" spans="1:10" s="10" customFormat="1" ht="18.75" customHeight="1" hidden="1">
      <c r="A89" s="291" t="s">
        <v>725</v>
      </c>
      <c r="B89" s="44"/>
      <c r="C89" s="44"/>
      <c r="D89" s="44"/>
      <c r="E89" s="25"/>
      <c r="F89" s="25"/>
      <c r="G89" s="122">
        <v>69388</v>
      </c>
      <c r="H89" s="122">
        <v>69388</v>
      </c>
      <c r="I89" s="292">
        <f t="shared" si="4"/>
        <v>0</v>
      </c>
      <c r="J89" s="372"/>
    </row>
    <row r="90" spans="1:10" s="10" customFormat="1" ht="18.75" customHeight="1" hidden="1">
      <c r="A90" s="291" t="s">
        <v>736</v>
      </c>
      <c r="B90" s="44"/>
      <c r="C90" s="44"/>
      <c r="D90" s="44"/>
      <c r="E90" s="25"/>
      <c r="F90" s="25"/>
      <c r="G90" s="122">
        <v>32400</v>
      </c>
      <c r="H90" s="122">
        <v>32400</v>
      </c>
      <c r="I90" s="292">
        <f t="shared" si="4"/>
        <v>0</v>
      </c>
      <c r="J90" s="372"/>
    </row>
    <row r="91" spans="1:10" s="10" customFormat="1" ht="34.5" customHeight="1" hidden="1">
      <c r="A91" s="288" t="s">
        <v>758</v>
      </c>
      <c r="B91" s="44"/>
      <c r="C91" s="44"/>
      <c r="D91" s="44"/>
      <c r="E91" s="25"/>
      <c r="F91" s="25"/>
      <c r="G91" s="122">
        <f>109100+35600</f>
        <v>144700</v>
      </c>
      <c r="H91" s="122">
        <v>109100</v>
      </c>
      <c r="I91" s="292">
        <f t="shared" si="4"/>
        <v>35600</v>
      </c>
      <c r="J91" s="372"/>
    </row>
    <row r="92" spans="1:10" s="10" customFormat="1" ht="27" customHeight="1" hidden="1">
      <c r="A92" s="291" t="s">
        <v>782</v>
      </c>
      <c r="B92" s="44"/>
      <c r="C92" s="44"/>
      <c r="D92" s="44"/>
      <c r="E92" s="25"/>
      <c r="F92" s="25"/>
      <c r="G92" s="87">
        <v>14489</v>
      </c>
      <c r="H92" s="87">
        <v>14489</v>
      </c>
      <c r="I92" s="292">
        <f t="shared" si="4"/>
        <v>0</v>
      </c>
      <c r="J92" s="371"/>
    </row>
    <row r="93" spans="1:10" s="10" customFormat="1" ht="17.25" customHeight="1" hidden="1">
      <c r="A93" s="287" t="s">
        <v>427</v>
      </c>
      <c r="B93" s="44" t="s">
        <v>90</v>
      </c>
      <c r="C93" s="44" t="s">
        <v>278</v>
      </c>
      <c r="D93" s="44" t="s">
        <v>125</v>
      </c>
      <c r="E93" s="25" t="s">
        <v>54</v>
      </c>
      <c r="F93" s="25" t="s">
        <v>188</v>
      </c>
      <c r="G93" s="87">
        <v>0</v>
      </c>
      <c r="H93" s="87"/>
      <c r="I93" s="81">
        <f t="shared" si="4"/>
        <v>0</v>
      </c>
      <c r="J93" s="372"/>
    </row>
    <row r="94" spans="1:10" s="10" customFormat="1" ht="17.25" customHeight="1" hidden="1">
      <c r="A94" s="291" t="s">
        <v>783</v>
      </c>
      <c r="B94" s="44"/>
      <c r="C94" s="44"/>
      <c r="D94" s="44"/>
      <c r="E94" s="25"/>
      <c r="F94" s="25"/>
      <c r="G94" s="87">
        <v>35700</v>
      </c>
      <c r="H94" s="87">
        <v>35700</v>
      </c>
      <c r="I94" s="81">
        <f t="shared" si="4"/>
        <v>0</v>
      </c>
      <c r="J94" s="372"/>
    </row>
    <row r="95" spans="1:10" s="10" customFormat="1" ht="17.25" customHeight="1" hidden="1">
      <c r="A95" s="291" t="s">
        <v>842</v>
      </c>
      <c r="B95" s="44"/>
      <c r="C95" s="44"/>
      <c r="D95" s="44"/>
      <c r="E95" s="25"/>
      <c r="F95" s="25"/>
      <c r="G95" s="87">
        <v>20600</v>
      </c>
      <c r="H95" s="87">
        <v>20600</v>
      </c>
      <c r="I95" s="81">
        <f t="shared" si="4"/>
        <v>0</v>
      </c>
      <c r="J95" s="372"/>
    </row>
    <row r="96" spans="1:10" s="10" customFormat="1" ht="17.25" customHeight="1" hidden="1">
      <c r="A96" s="291" t="s">
        <v>797</v>
      </c>
      <c r="B96" s="44"/>
      <c r="C96" s="44"/>
      <c r="D96" s="44"/>
      <c r="E96" s="25"/>
      <c r="F96" s="25"/>
      <c r="G96" s="87">
        <f>449846.05-35700-49896-20600</f>
        <v>343650.05</v>
      </c>
      <c r="H96" s="87"/>
      <c r="I96" s="81">
        <f t="shared" si="4"/>
        <v>343650.05</v>
      </c>
      <c r="J96" s="372"/>
    </row>
    <row r="97" spans="1:10" s="10" customFormat="1" ht="17.25" customHeight="1">
      <c r="A97" s="37" t="s">
        <v>284</v>
      </c>
      <c r="B97" s="44" t="s">
        <v>90</v>
      </c>
      <c r="C97" s="44" t="s">
        <v>278</v>
      </c>
      <c r="D97" s="44" t="s">
        <v>125</v>
      </c>
      <c r="E97" s="25" t="s">
        <v>70</v>
      </c>
      <c r="F97" s="25" t="s">
        <v>191</v>
      </c>
      <c r="G97" s="87">
        <f>459500+40000+100000</f>
        <v>599500</v>
      </c>
      <c r="H97" s="87">
        <f>379000+76600+35000+50000+5599</f>
        <v>546199</v>
      </c>
      <c r="I97" s="81">
        <f t="shared" si="4"/>
        <v>53301</v>
      </c>
      <c r="J97" s="375"/>
    </row>
    <row r="98" spans="1:12" s="10" customFormat="1" ht="39.75" customHeight="1">
      <c r="A98" s="37" t="s">
        <v>671</v>
      </c>
      <c r="B98" s="44" t="s">
        <v>90</v>
      </c>
      <c r="C98" s="44" t="s">
        <v>278</v>
      </c>
      <c r="D98" s="44" t="s">
        <v>125</v>
      </c>
      <c r="E98" s="25" t="s">
        <v>398</v>
      </c>
      <c r="F98" s="25" t="s">
        <v>193</v>
      </c>
      <c r="G98" s="87">
        <f>G100+G101</f>
        <v>439734.02</v>
      </c>
      <c r="H98" s="87">
        <f>H100+H101</f>
        <v>439734.02</v>
      </c>
      <c r="I98" s="87">
        <f>I100+I101</f>
        <v>0</v>
      </c>
      <c r="J98" s="375"/>
      <c r="K98" s="3"/>
      <c r="L98" s="3"/>
    </row>
    <row r="99" spans="1:10" s="10" customFormat="1" ht="31.5" customHeight="1" hidden="1">
      <c r="A99" s="29" t="s">
        <v>405</v>
      </c>
      <c r="B99" s="44" t="s">
        <v>90</v>
      </c>
      <c r="C99" s="44" t="s">
        <v>278</v>
      </c>
      <c r="D99" s="44" t="s">
        <v>125</v>
      </c>
      <c r="E99" s="25" t="s">
        <v>404</v>
      </c>
      <c r="F99" s="25" t="s">
        <v>187</v>
      </c>
      <c r="G99" s="87">
        <f>485000+90000-118715-456285</f>
        <v>0</v>
      </c>
      <c r="H99" s="87"/>
      <c r="I99" s="81">
        <f>G99-H99</f>
        <v>0</v>
      </c>
      <c r="J99" s="372"/>
    </row>
    <row r="100" spans="1:10" s="10" customFormat="1" ht="31.5" customHeight="1" hidden="1">
      <c r="A100" s="53" t="s">
        <v>669</v>
      </c>
      <c r="B100" s="44"/>
      <c r="C100" s="44"/>
      <c r="D100" s="44"/>
      <c r="E100" s="25"/>
      <c r="F100" s="25"/>
      <c r="G100" s="87">
        <v>190000</v>
      </c>
      <c r="H100" s="87">
        <v>190000</v>
      </c>
      <c r="I100" s="81">
        <f>G100-H100</f>
        <v>0</v>
      </c>
      <c r="J100" s="372"/>
    </row>
    <row r="101" spans="1:10" s="10" customFormat="1" ht="31.5" customHeight="1" hidden="1">
      <c r="A101" s="53" t="s">
        <v>670</v>
      </c>
      <c r="B101" s="44"/>
      <c r="C101" s="44"/>
      <c r="D101" s="44"/>
      <c r="E101" s="25"/>
      <c r="F101" s="25"/>
      <c r="G101" s="87">
        <f>196650+378520-190000-86454-48981.98</f>
        <v>249734.02</v>
      </c>
      <c r="H101" s="87">
        <v>249734.02</v>
      </c>
      <c r="I101" s="81">
        <f>G101-H101</f>
        <v>0</v>
      </c>
      <c r="J101" s="247"/>
    </row>
    <row r="102" spans="1:10" s="10" customFormat="1" ht="27.75" customHeight="1">
      <c r="A102" s="155" t="s">
        <v>287</v>
      </c>
      <c r="B102" s="36" t="s">
        <v>90</v>
      </c>
      <c r="C102" s="36" t="s">
        <v>278</v>
      </c>
      <c r="D102" s="36" t="s">
        <v>206</v>
      </c>
      <c r="E102" s="28"/>
      <c r="F102" s="28"/>
      <c r="G102" s="93">
        <f>G103+G104+G108+G114+G132+G145+G147+G159+G143+G121</f>
        <v>13547224.45</v>
      </c>
      <c r="H102" s="93">
        <f>H103+H104+H108+H114+H132+H145+H147+H159+H143+H121</f>
        <v>11523468.639999999</v>
      </c>
      <c r="I102" s="93">
        <f>I103+I104+I108+I114+I132+I145+I147+I159+I143+I121</f>
        <v>1841476.4099999997</v>
      </c>
      <c r="J102" s="376"/>
    </row>
    <row r="103" spans="1:10" s="10" customFormat="1" ht="17.25" customHeight="1">
      <c r="A103" s="29" t="s">
        <v>285</v>
      </c>
      <c r="B103" s="44" t="s">
        <v>90</v>
      </c>
      <c r="C103" s="44" t="s">
        <v>278</v>
      </c>
      <c r="D103" s="44" t="s">
        <v>206</v>
      </c>
      <c r="E103" s="25" t="s">
        <v>26</v>
      </c>
      <c r="F103" s="25"/>
      <c r="G103" s="87">
        <v>146250</v>
      </c>
      <c r="H103" s="87">
        <f>24000+80000+216.51+213.22</f>
        <v>104429.73</v>
      </c>
      <c r="I103" s="81">
        <f>G103-H103</f>
        <v>41820.270000000004</v>
      </c>
      <c r="J103" s="374"/>
    </row>
    <row r="104" spans="1:10" s="10" customFormat="1" ht="12.75">
      <c r="A104" s="158" t="s">
        <v>27</v>
      </c>
      <c r="B104" s="160" t="s">
        <v>90</v>
      </c>
      <c r="C104" s="159" t="s">
        <v>278</v>
      </c>
      <c r="D104" s="159" t="s">
        <v>206</v>
      </c>
      <c r="E104" s="160" t="s">
        <v>28</v>
      </c>
      <c r="F104" s="160"/>
      <c r="G104" s="178">
        <f>G106+G107+G105</f>
        <v>0</v>
      </c>
      <c r="H104" s="161">
        <f>H106+H107+H105</f>
        <v>0</v>
      </c>
      <c r="I104" s="161">
        <f>I106+I107+I105</f>
        <v>0</v>
      </c>
      <c r="J104" s="372"/>
    </row>
    <row r="105" spans="1:10" s="10" customFormat="1" ht="76.5" hidden="1">
      <c r="A105" s="47" t="s">
        <v>168</v>
      </c>
      <c r="B105" s="35" t="s">
        <v>90</v>
      </c>
      <c r="C105" s="46" t="s">
        <v>278</v>
      </c>
      <c r="D105" s="156" t="s">
        <v>80</v>
      </c>
      <c r="E105" s="156" t="s">
        <v>28</v>
      </c>
      <c r="F105" s="156" t="s">
        <v>162</v>
      </c>
      <c r="G105" s="268"/>
      <c r="H105" s="82"/>
      <c r="I105" s="81"/>
      <c r="J105" s="372"/>
    </row>
    <row r="106" spans="1:9" ht="63.75">
      <c r="A106" s="47" t="s">
        <v>168</v>
      </c>
      <c r="B106" s="35" t="s">
        <v>90</v>
      </c>
      <c r="C106" s="46" t="s">
        <v>278</v>
      </c>
      <c r="D106" s="156" t="s">
        <v>206</v>
      </c>
      <c r="E106" s="156" t="s">
        <v>28</v>
      </c>
      <c r="F106" s="156" t="s">
        <v>162</v>
      </c>
      <c r="G106" s="268">
        <v>0</v>
      </c>
      <c r="H106" s="82"/>
      <c r="I106" s="79"/>
    </row>
    <row r="107" spans="1:10" ht="25.5">
      <c r="A107" s="157" t="s">
        <v>227</v>
      </c>
      <c r="B107" s="35" t="s">
        <v>90</v>
      </c>
      <c r="C107" s="46" t="s">
        <v>278</v>
      </c>
      <c r="D107" s="156" t="s">
        <v>206</v>
      </c>
      <c r="E107" s="156" t="s">
        <v>28</v>
      </c>
      <c r="F107" s="156" t="s">
        <v>177</v>
      </c>
      <c r="G107" s="163">
        <f>150000-50000-48659-19500-31841</f>
        <v>0</v>
      </c>
      <c r="H107" s="98"/>
      <c r="I107" s="79">
        <f>G107-H107</f>
        <v>0</v>
      </c>
      <c r="J107" s="371"/>
    </row>
    <row r="108" spans="1:10" s="10" customFormat="1" ht="12.75">
      <c r="A108" s="158" t="s">
        <v>32</v>
      </c>
      <c r="B108" s="160" t="s">
        <v>90</v>
      </c>
      <c r="C108" s="159" t="s">
        <v>278</v>
      </c>
      <c r="D108" s="159" t="s">
        <v>206</v>
      </c>
      <c r="E108" s="160" t="s">
        <v>33</v>
      </c>
      <c r="F108" s="160"/>
      <c r="G108" s="178">
        <f>G109+G110+G111+G113+G112</f>
        <v>6288576</v>
      </c>
      <c r="H108" s="178">
        <f>H109+H110+H111+H113+H112</f>
        <v>5480248.779999999</v>
      </c>
      <c r="I108" s="178">
        <f>I109+I110+I111+I113+I112</f>
        <v>808327.2199999996</v>
      </c>
      <c r="J108" s="372"/>
    </row>
    <row r="109" spans="1:13" ht="12.75" customHeight="1">
      <c r="A109" s="162" t="s">
        <v>169</v>
      </c>
      <c r="B109" s="156" t="s">
        <v>90</v>
      </c>
      <c r="C109" s="46" t="s">
        <v>278</v>
      </c>
      <c r="D109" s="156" t="s">
        <v>466</v>
      </c>
      <c r="E109" s="156" t="s">
        <v>33</v>
      </c>
      <c r="F109" s="156" t="s">
        <v>207</v>
      </c>
      <c r="G109" s="163">
        <f>3682743+660000</f>
        <v>4342743</v>
      </c>
      <c r="H109" s="163">
        <v>4342619.9</v>
      </c>
      <c r="I109" s="116">
        <f>G109-H109</f>
        <v>123.09999999962747</v>
      </c>
      <c r="J109" s="377"/>
      <c r="K109" s="229"/>
      <c r="L109" s="229"/>
      <c r="M109" s="229"/>
    </row>
    <row r="110" spans="1:10" ht="12.75" customHeight="1">
      <c r="A110" s="162" t="s">
        <v>170</v>
      </c>
      <c r="B110" s="156" t="s">
        <v>90</v>
      </c>
      <c r="C110" s="46" t="s">
        <v>278</v>
      </c>
      <c r="D110" s="156" t="s">
        <v>466</v>
      </c>
      <c r="E110" s="156" t="s">
        <v>33</v>
      </c>
      <c r="F110" s="156" t="s">
        <v>178</v>
      </c>
      <c r="G110" s="163">
        <f>1250000+425235</f>
        <v>1675235</v>
      </c>
      <c r="H110" s="163">
        <v>947126.85</v>
      </c>
      <c r="I110" s="116">
        <f>G110-H110</f>
        <v>728108.15</v>
      </c>
      <c r="J110" s="374"/>
    </row>
    <row r="111" spans="1:12" ht="38.25">
      <c r="A111" s="162" t="s">
        <v>526</v>
      </c>
      <c r="B111" s="156" t="s">
        <v>90</v>
      </c>
      <c r="C111" s="46" t="s">
        <v>278</v>
      </c>
      <c r="D111" s="156" t="s">
        <v>206</v>
      </c>
      <c r="E111" s="156" t="s">
        <v>33</v>
      </c>
      <c r="F111" s="156" t="s">
        <v>179</v>
      </c>
      <c r="G111" s="163">
        <f>67087-37000+30000</f>
        <v>60087</v>
      </c>
      <c r="H111" s="163">
        <v>46858.35</v>
      </c>
      <c r="I111" s="116">
        <f>G111-H111</f>
        <v>13228.650000000001</v>
      </c>
      <c r="J111" s="378"/>
      <c r="K111" s="229"/>
      <c r="L111" s="229"/>
    </row>
    <row r="112" spans="1:12" ht="25.5">
      <c r="A112" s="162" t="s">
        <v>527</v>
      </c>
      <c r="B112" s="156" t="s">
        <v>90</v>
      </c>
      <c r="C112" s="46" t="s">
        <v>278</v>
      </c>
      <c r="D112" s="156" t="s">
        <v>466</v>
      </c>
      <c r="E112" s="156" t="s">
        <v>33</v>
      </c>
      <c r="F112" s="156" t="s">
        <v>179</v>
      </c>
      <c r="G112" s="163">
        <f>292862-240000+90000</f>
        <v>142862</v>
      </c>
      <c r="H112" s="163">
        <v>92090.89</v>
      </c>
      <c r="I112" s="116">
        <f>G112-H112</f>
        <v>50771.11</v>
      </c>
      <c r="J112" s="378"/>
      <c r="K112" s="229"/>
      <c r="L112" s="229"/>
    </row>
    <row r="113" spans="1:9" ht="25.5">
      <c r="A113" s="162" t="s">
        <v>171</v>
      </c>
      <c r="B113" s="156" t="s">
        <v>90</v>
      </c>
      <c r="C113" s="46" t="s">
        <v>278</v>
      </c>
      <c r="D113" s="156" t="s">
        <v>206</v>
      </c>
      <c r="E113" s="156" t="s">
        <v>33</v>
      </c>
      <c r="F113" s="156" t="s">
        <v>180</v>
      </c>
      <c r="G113" s="163">
        <f>107649-70000+30000</f>
        <v>67649</v>
      </c>
      <c r="H113" s="163">
        <v>51552.79</v>
      </c>
      <c r="I113" s="116">
        <f>G113-H113</f>
        <v>16096.21</v>
      </c>
    </row>
    <row r="114" spans="1:10" ht="25.5">
      <c r="A114" s="164" t="s">
        <v>42</v>
      </c>
      <c r="B114" s="177" t="s">
        <v>90</v>
      </c>
      <c r="C114" s="159" t="s">
        <v>278</v>
      </c>
      <c r="D114" s="177" t="s">
        <v>206</v>
      </c>
      <c r="E114" s="177" t="s">
        <v>43</v>
      </c>
      <c r="F114" s="177"/>
      <c r="G114" s="165">
        <f>G116+G122+G115</f>
        <v>2439975.08</v>
      </c>
      <c r="H114" s="165">
        <f>H116+H122+H115</f>
        <v>2338408.02</v>
      </c>
      <c r="I114" s="165">
        <f>I116+I122+I115</f>
        <v>72075.74999999994</v>
      </c>
      <c r="J114" s="366"/>
    </row>
    <row r="115" spans="1:32" s="298" customFormat="1" ht="12.75">
      <c r="A115" s="307" t="s">
        <v>392</v>
      </c>
      <c r="B115" s="308" t="s">
        <v>90</v>
      </c>
      <c r="C115" s="44" t="s">
        <v>278</v>
      </c>
      <c r="D115" s="308" t="s">
        <v>206</v>
      </c>
      <c r="E115" s="308" t="s">
        <v>43</v>
      </c>
      <c r="F115" s="308" t="s">
        <v>182</v>
      </c>
      <c r="G115" s="115">
        <f>642767-84600+80100+231390+150656-124057+246125.69+215567.73</f>
        <v>1357949.42</v>
      </c>
      <c r="H115" s="115">
        <v>1291027</v>
      </c>
      <c r="I115" s="115">
        <f>G115-H115</f>
        <v>66922.41999999993</v>
      </c>
      <c r="J115" s="374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</row>
    <row r="116" spans="1:10" s="3" customFormat="1" ht="51">
      <c r="A116" s="286" t="s">
        <v>288</v>
      </c>
      <c r="B116" s="28" t="s">
        <v>90</v>
      </c>
      <c r="C116" s="36" t="s">
        <v>278</v>
      </c>
      <c r="D116" s="28" t="s">
        <v>206</v>
      </c>
      <c r="E116" s="28" t="s">
        <v>43</v>
      </c>
      <c r="F116" s="28" t="s">
        <v>181</v>
      </c>
      <c r="G116" s="93">
        <f>G117+G118+G120</f>
        <v>540920.03</v>
      </c>
      <c r="H116" s="93">
        <v>540915.98</v>
      </c>
      <c r="I116" s="93">
        <f>I117+I118+I120</f>
        <v>0</v>
      </c>
      <c r="J116" s="379"/>
    </row>
    <row r="117" spans="1:10" s="3" customFormat="1" ht="38.25" hidden="1">
      <c r="A117" s="64" t="s">
        <v>215</v>
      </c>
      <c r="B117" s="42"/>
      <c r="C117" s="42"/>
      <c r="D117" s="42"/>
      <c r="E117" s="42"/>
      <c r="F117" s="42"/>
      <c r="G117" s="268">
        <v>540920.03</v>
      </c>
      <c r="H117" s="268">
        <f>540920.03</f>
        <v>540920.03</v>
      </c>
      <c r="I117" s="268">
        <f aca="true" t="shared" si="5" ref="I117:I131">G117-H117</f>
        <v>0</v>
      </c>
      <c r="J117" s="380"/>
    </row>
    <row r="118" spans="1:10" s="3" customFormat="1" ht="25.5" hidden="1">
      <c r="A118" s="64" t="s">
        <v>442</v>
      </c>
      <c r="B118" s="42"/>
      <c r="C118" s="42"/>
      <c r="D118" s="42"/>
      <c r="E118" s="42"/>
      <c r="F118" s="42"/>
      <c r="G118" s="268"/>
      <c r="H118" s="268"/>
      <c r="I118" s="268">
        <f t="shared" si="5"/>
        <v>0</v>
      </c>
      <c r="J118" s="380"/>
    </row>
    <row r="119" spans="1:10" s="3" customFormat="1" ht="38.25" hidden="1">
      <c r="A119" s="41" t="s">
        <v>176</v>
      </c>
      <c r="B119" s="25" t="s">
        <v>90</v>
      </c>
      <c r="C119" s="44" t="s">
        <v>278</v>
      </c>
      <c r="D119" s="25" t="s">
        <v>206</v>
      </c>
      <c r="E119" s="25" t="s">
        <v>43</v>
      </c>
      <c r="F119" s="25" t="s">
        <v>183</v>
      </c>
      <c r="G119" s="268"/>
      <c r="H119" s="82"/>
      <c r="I119" s="268">
        <f t="shared" si="5"/>
        <v>0</v>
      </c>
      <c r="J119" s="380"/>
    </row>
    <row r="120" spans="1:10" s="3" customFormat="1" ht="12.75" hidden="1">
      <c r="A120" s="64" t="s">
        <v>443</v>
      </c>
      <c r="B120" s="42"/>
      <c r="C120" s="46"/>
      <c r="D120" s="42"/>
      <c r="E120" s="42"/>
      <c r="F120" s="42"/>
      <c r="G120" s="268"/>
      <c r="H120" s="82"/>
      <c r="I120" s="268">
        <f t="shared" si="5"/>
        <v>0</v>
      </c>
      <c r="J120" s="380"/>
    </row>
    <row r="121" spans="1:10" s="3" customFormat="1" ht="38.25">
      <c r="A121" s="39" t="s">
        <v>444</v>
      </c>
      <c r="B121" s="25" t="s">
        <v>90</v>
      </c>
      <c r="C121" s="44" t="s">
        <v>278</v>
      </c>
      <c r="D121" s="25" t="s">
        <v>206</v>
      </c>
      <c r="E121" s="25" t="s">
        <v>33</v>
      </c>
      <c r="F121" s="25" t="s">
        <v>417</v>
      </c>
      <c r="G121" s="87">
        <v>15818</v>
      </c>
      <c r="H121" s="83">
        <v>0</v>
      </c>
      <c r="I121" s="82">
        <f t="shared" si="5"/>
        <v>15818</v>
      </c>
      <c r="J121" s="371"/>
    </row>
    <row r="122" spans="1:11" s="3" customFormat="1" ht="38.25">
      <c r="A122" s="286" t="s">
        <v>212</v>
      </c>
      <c r="B122" s="28" t="s">
        <v>90</v>
      </c>
      <c r="C122" s="36" t="s">
        <v>278</v>
      </c>
      <c r="D122" s="28" t="s">
        <v>206</v>
      </c>
      <c r="E122" s="28" t="s">
        <v>43</v>
      </c>
      <c r="F122" s="28" t="s">
        <v>184</v>
      </c>
      <c r="G122" s="93">
        <f>G123+G125+G126+G129+G128+G124+G130+G131</f>
        <v>541105.63</v>
      </c>
      <c r="H122" s="93">
        <v>506465.04</v>
      </c>
      <c r="I122" s="93">
        <f>I123+I125+I126+I129+I128+I124+I130+I131</f>
        <v>5153.330000000016</v>
      </c>
      <c r="J122" s="374"/>
      <c r="K122" s="401"/>
    </row>
    <row r="123" spans="1:10" s="3" customFormat="1" ht="38.25" hidden="1">
      <c r="A123" s="64" t="s">
        <v>447</v>
      </c>
      <c r="B123" s="42"/>
      <c r="C123" s="46"/>
      <c r="D123" s="42"/>
      <c r="E123" s="42"/>
      <c r="F123" s="42"/>
      <c r="G123" s="268">
        <f>311620.63+8000-246071.68</f>
        <v>73548.95000000001</v>
      </c>
      <c r="H123" s="268">
        <f>69817.9</f>
        <v>69817.9</v>
      </c>
      <c r="I123" s="268">
        <f>G123-H123</f>
        <v>3731.0500000000175</v>
      </c>
      <c r="J123" s="380"/>
    </row>
    <row r="124" spans="1:10" s="3" customFormat="1" ht="25.5" hidden="1">
      <c r="A124" s="64" t="s">
        <v>638</v>
      </c>
      <c r="B124" s="42"/>
      <c r="C124" s="46"/>
      <c r="D124" s="42"/>
      <c r="E124" s="42"/>
      <c r="F124" s="42"/>
      <c r="G124" s="268">
        <v>246071.68</v>
      </c>
      <c r="H124" s="268">
        <f>245080.9</f>
        <v>245080.9</v>
      </c>
      <c r="I124" s="268">
        <f>G124-H124</f>
        <v>990.7799999999988</v>
      </c>
      <c r="J124" s="380"/>
    </row>
    <row r="125" spans="1:10" s="3" customFormat="1" ht="38.25" hidden="1">
      <c r="A125" s="64" t="s">
        <v>446</v>
      </c>
      <c r="B125" s="42"/>
      <c r="C125" s="42"/>
      <c r="D125" s="42"/>
      <c r="E125" s="42"/>
      <c r="F125" s="42"/>
      <c r="G125" s="268">
        <f>3060+47380</f>
        <v>50440</v>
      </c>
      <c r="H125" s="268">
        <f>7778+47199.5</f>
        <v>54977.5</v>
      </c>
      <c r="I125" s="268">
        <f t="shared" si="5"/>
        <v>-4537.5</v>
      </c>
      <c r="J125" s="381"/>
    </row>
    <row r="126" spans="1:10" s="3" customFormat="1" ht="38.25" hidden="1">
      <c r="A126" s="64" t="s">
        <v>445</v>
      </c>
      <c r="B126" s="42"/>
      <c r="C126" s="42"/>
      <c r="D126" s="42"/>
      <c r="E126" s="42"/>
      <c r="F126" s="42"/>
      <c r="G126" s="268">
        <v>152350</v>
      </c>
      <c r="H126" s="268">
        <v>152350</v>
      </c>
      <c r="I126" s="268">
        <f t="shared" si="5"/>
        <v>0</v>
      </c>
      <c r="J126" s="382"/>
    </row>
    <row r="127" spans="1:10" s="3" customFormat="1" ht="25.5" hidden="1">
      <c r="A127" s="39" t="s">
        <v>217</v>
      </c>
      <c r="B127" s="25" t="s">
        <v>90</v>
      </c>
      <c r="C127" s="44" t="s">
        <v>278</v>
      </c>
      <c r="D127" s="25" t="s">
        <v>125</v>
      </c>
      <c r="E127" s="25" t="s">
        <v>43</v>
      </c>
      <c r="F127" s="42" t="s">
        <v>184</v>
      </c>
      <c r="G127" s="87"/>
      <c r="H127" s="83"/>
      <c r="I127" s="82">
        <f t="shared" si="5"/>
        <v>0</v>
      </c>
      <c r="J127" s="382"/>
    </row>
    <row r="128" spans="1:10" s="3" customFormat="1" ht="12.75" hidden="1">
      <c r="A128" s="64" t="s">
        <v>660</v>
      </c>
      <c r="B128" s="42"/>
      <c r="C128" s="46"/>
      <c r="D128" s="42"/>
      <c r="E128" s="42"/>
      <c r="F128" s="42"/>
      <c r="G128" s="268">
        <f>10140-2250</f>
        <v>7890</v>
      </c>
      <c r="H128" s="82">
        <f>3150+2000</f>
        <v>5150</v>
      </c>
      <c r="I128" s="268">
        <f t="shared" si="5"/>
        <v>2740</v>
      </c>
      <c r="J128" s="382"/>
    </row>
    <row r="129" spans="1:10" s="3" customFormat="1" ht="25.5" hidden="1">
      <c r="A129" s="39" t="s">
        <v>448</v>
      </c>
      <c r="B129" s="25"/>
      <c r="C129" s="44"/>
      <c r="D129" s="25"/>
      <c r="E129" s="25"/>
      <c r="F129" s="42"/>
      <c r="G129" s="87">
        <v>4055</v>
      </c>
      <c r="H129" s="83">
        <v>1826</v>
      </c>
      <c r="I129" s="268">
        <f t="shared" si="5"/>
        <v>2229</v>
      </c>
      <c r="J129" s="382"/>
    </row>
    <row r="130" spans="1:10" s="3" customFormat="1" ht="14.25" customHeight="1" hidden="1">
      <c r="A130" s="39" t="s">
        <v>659</v>
      </c>
      <c r="B130" s="25"/>
      <c r="C130" s="44"/>
      <c r="D130" s="25"/>
      <c r="E130" s="25"/>
      <c r="F130" s="42"/>
      <c r="G130" s="87">
        <f>84600-80100</f>
        <v>4500</v>
      </c>
      <c r="H130" s="83">
        <v>4500</v>
      </c>
      <c r="I130" s="268">
        <f t="shared" si="5"/>
        <v>0</v>
      </c>
      <c r="J130" s="382"/>
    </row>
    <row r="131" spans="1:10" s="3" customFormat="1" ht="14.25" customHeight="1" hidden="1">
      <c r="A131" s="39" t="s">
        <v>878</v>
      </c>
      <c r="B131" s="25"/>
      <c r="C131" s="44"/>
      <c r="D131" s="25"/>
      <c r="E131" s="25"/>
      <c r="F131" s="42"/>
      <c r="G131" s="87">
        <v>2250</v>
      </c>
      <c r="H131" s="83">
        <v>2250</v>
      </c>
      <c r="I131" s="268">
        <f t="shared" si="5"/>
        <v>0</v>
      </c>
      <c r="J131" s="382"/>
    </row>
    <row r="132" spans="1:10" s="10" customFormat="1" ht="12" customHeight="1">
      <c r="A132" s="158" t="s">
        <v>53</v>
      </c>
      <c r="B132" s="160" t="s">
        <v>90</v>
      </c>
      <c r="C132" s="159" t="s">
        <v>278</v>
      </c>
      <c r="D132" s="159" t="s">
        <v>206</v>
      </c>
      <c r="E132" s="160" t="s">
        <v>54</v>
      </c>
      <c r="F132" s="160"/>
      <c r="G132" s="178">
        <f>G133+G134+G136+G135</f>
        <v>2001855.12</v>
      </c>
      <c r="H132" s="178">
        <f>H133+H134+H136+H135</f>
        <v>1274885.49</v>
      </c>
      <c r="I132" s="178">
        <f>I133+I134+I136+I135</f>
        <v>554881.54</v>
      </c>
      <c r="J132" s="372"/>
    </row>
    <row r="133" spans="1:10" s="5" customFormat="1" ht="35.25" customHeight="1">
      <c r="A133" s="37" t="s">
        <v>172</v>
      </c>
      <c r="B133" s="25" t="s">
        <v>90</v>
      </c>
      <c r="C133" s="44" t="s">
        <v>278</v>
      </c>
      <c r="D133" s="25" t="s">
        <v>206</v>
      </c>
      <c r="E133" s="25" t="s">
        <v>54</v>
      </c>
      <c r="F133" s="44" t="s">
        <v>162</v>
      </c>
      <c r="G133" s="87">
        <f>675000-2000-3060-14195</f>
        <v>655745</v>
      </c>
      <c r="H133" s="83">
        <v>285000</v>
      </c>
      <c r="I133" s="83">
        <f>G133-H133</f>
        <v>370745</v>
      </c>
      <c r="J133" s="237"/>
    </row>
    <row r="134" spans="1:10" s="5" customFormat="1" ht="18.75" customHeight="1">
      <c r="A134" s="37" t="s">
        <v>218</v>
      </c>
      <c r="B134" s="25" t="s">
        <v>90</v>
      </c>
      <c r="C134" s="44" t="s">
        <v>278</v>
      </c>
      <c r="D134" s="25" t="s">
        <v>206</v>
      </c>
      <c r="E134" s="25" t="s">
        <v>54</v>
      </c>
      <c r="F134" s="25" t="s">
        <v>185</v>
      </c>
      <c r="G134" s="87">
        <f>48750-24750-10000</f>
        <v>14000</v>
      </c>
      <c r="H134" s="83"/>
      <c r="I134" s="83">
        <f>G134-H134</f>
        <v>14000</v>
      </c>
      <c r="J134" s="237"/>
    </row>
    <row r="135" spans="1:10" s="5" customFormat="1" ht="18.75" customHeight="1">
      <c r="A135" s="37" t="s">
        <v>707</v>
      </c>
      <c r="B135" s="25" t="s">
        <v>90</v>
      </c>
      <c r="C135" s="44" t="s">
        <v>278</v>
      </c>
      <c r="D135" s="25" t="s">
        <v>206</v>
      </c>
      <c r="E135" s="25" t="s">
        <v>54</v>
      </c>
      <c r="F135" s="25" t="s">
        <v>186</v>
      </c>
      <c r="G135" s="87">
        <f>111600+24750+100000-30000</f>
        <v>206350</v>
      </c>
      <c r="H135" s="83">
        <f>6000+12700+8000+60000+6500+9300+25000</f>
        <v>127500</v>
      </c>
      <c r="I135" s="83">
        <f>G135-H135</f>
        <v>78850</v>
      </c>
      <c r="J135" s="237"/>
    </row>
    <row r="136" spans="1:16" s="5" customFormat="1" ht="25.5" customHeight="1">
      <c r="A136" s="100" t="s">
        <v>213</v>
      </c>
      <c r="B136" s="28" t="s">
        <v>90</v>
      </c>
      <c r="C136" s="36" t="s">
        <v>278</v>
      </c>
      <c r="D136" s="28" t="s">
        <v>206</v>
      </c>
      <c r="E136" s="28" t="s">
        <v>54</v>
      </c>
      <c r="F136" s="28" t="s">
        <v>188</v>
      </c>
      <c r="G136" s="93">
        <f>G137+G138+G139+G140+G141+G142</f>
        <v>1125760.12</v>
      </c>
      <c r="H136" s="93">
        <v>862385.49</v>
      </c>
      <c r="I136" s="93">
        <f>I137+I138+I139+I140+I141+I142</f>
        <v>91286.5400000001</v>
      </c>
      <c r="J136" s="383"/>
      <c r="K136" s="280"/>
      <c r="L136" s="280"/>
      <c r="M136" s="280"/>
      <c r="N136" s="280"/>
      <c r="O136" s="280"/>
      <c r="P136" s="143"/>
    </row>
    <row r="137" spans="1:10" s="5" customFormat="1" ht="25.5" customHeight="1" hidden="1">
      <c r="A137" s="47" t="s">
        <v>455</v>
      </c>
      <c r="B137" s="42"/>
      <c r="C137" s="42"/>
      <c r="D137" s="42"/>
      <c r="E137" s="42"/>
      <c r="F137" s="42"/>
      <c r="G137" s="87">
        <f>1064885.12-26850-237112-354000-30000-40275+100000</f>
        <v>476648.1200000001</v>
      </c>
      <c r="H137" s="87">
        <f>62066.35+89668.8+11455.69+14460.2+74229+37356.8+29885.7+62759.97+44834.4</f>
        <v>426716.91000000003</v>
      </c>
      <c r="I137" s="87">
        <f>G137-H137</f>
        <v>49931.21000000008</v>
      </c>
      <c r="J137" s="247"/>
    </row>
    <row r="138" spans="1:10" s="5" customFormat="1" ht="25.5" customHeight="1" hidden="1">
      <c r="A138" s="47" t="s">
        <v>454</v>
      </c>
      <c r="B138" s="42"/>
      <c r="C138" s="42"/>
      <c r="D138" s="42"/>
      <c r="E138" s="42"/>
      <c r="F138" s="42"/>
      <c r="G138" s="87">
        <f>237112-10000</f>
        <v>227112</v>
      </c>
      <c r="H138" s="87">
        <f>109140+105600</f>
        <v>214740</v>
      </c>
      <c r="I138" s="87">
        <f>G138-H138</f>
        <v>12372</v>
      </c>
      <c r="J138" s="237"/>
    </row>
    <row r="139" spans="1:11" s="5" customFormat="1" ht="25.5" customHeight="1" hidden="1">
      <c r="A139" s="47" t="s">
        <v>456</v>
      </c>
      <c r="B139" s="42"/>
      <c r="C139" s="42"/>
      <c r="D139" s="42"/>
      <c r="E139" s="42"/>
      <c r="F139" s="42"/>
      <c r="G139" s="87">
        <f>354000-24000</f>
        <v>330000</v>
      </c>
      <c r="H139" s="87">
        <f>304282.67+18334</f>
        <v>322616.67</v>
      </c>
      <c r="I139" s="87">
        <f>G139-H139</f>
        <v>7383.330000000016</v>
      </c>
      <c r="J139" s="237"/>
      <c r="K139" s="14"/>
    </row>
    <row r="140" spans="1:11" s="5" customFormat="1" ht="25.5" customHeight="1" hidden="1">
      <c r="A140" s="47" t="s">
        <v>471</v>
      </c>
      <c r="B140" s="42"/>
      <c r="C140" s="42"/>
      <c r="D140" s="42"/>
      <c r="E140" s="42"/>
      <c r="F140" s="42"/>
      <c r="G140" s="87">
        <f>30000+38000</f>
        <v>68000</v>
      </c>
      <c r="H140" s="87">
        <f>16600+29800</f>
        <v>46400</v>
      </c>
      <c r="I140" s="87">
        <f>G140-H140</f>
        <v>21600</v>
      </c>
      <c r="J140" s="381"/>
      <c r="K140" s="14"/>
    </row>
    <row r="141" spans="1:11" s="5" customFormat="1" ht="25.5" customHeight="1" hidden="1">
      <c r="A141" s="47" t="s">
        <v>557</v>
      </c>
      <c r="B141" s="42"/>
      <c r="C141" s="42"/>
      <c r="D141" s="42"/>
      <c r="E141" s="42"/>
      <c r="F141" s="42"/>
      <c r="G141" s="87"/>
      <c r="H141" s="87"/>
      <c r="I141" s="87">
        <f>G141-H141</f>
        <v>0</v>
      </c>
      <c r="J141" s="381"/>
      <c r="K141" s="14"/>
    </row>
    <row r="142" spans="1:11" s="5" customFormat="1" ht="25.5" customHeight="1" hidden="1">
      <c r="A142" s="47" t="s">
        <v>837</v>
      </c>
      <c r="B142" s="42"/>
      <c r="C142" s="42"/>
      <c r="D142" s="42"/>
      <c r="E142" s="42"/>
      <c r="F142" s="42"/>
      <c r="G142" s="87">
        <v>24000</v>
      </c>
      <c r="H142" s="87">
        <v>24000</v>
      </c>
      <c r="I142" s="87"/>
      <c r="J142" s="381"/>
      <c r="K142" s="14"/>
    </row>
    <row r="143" spans="1:10" s="5" customFormat="1" ht="20.25" customHeight="1">
      <c r="A143" s="158" t="s">
        <v>53</v>
      </c>
      <c r="B143" s="259" t="s">
        <v>90</v>
      </c>
      <c r="C143" s="260" t="s">
        <v>278</v>
      </c>
      <c r="D143" s="259" t="s">
        <v>206</v>
      </c>
      <c r="E143" s="261" t="s">
        <v>406</v>
      </c>
      <c r="F143" s="261"/>
      <c r="G143" s="235">
        <f>G144</f>
        <v>16825</v>
      </c>
      <c r="H143" s="262">
        <f>H144</f>
        <v>9066.78</v>
      </c>
      <c r="I143" s="262">
        <f>I144</f>
        <v>7758.219999999999</v>
      </c>
      <c r="J143" s="237"/>
    </row>
    <row r="144" spans="1:10" s="5" customFormat="1" ht="20.25" customHeight="1">
      <c r="A144" s="37" t="s">
        <v>263</v>
      </c>
      <c r="B144" s="25" t="s">
        <v>90</v>
      </c>
      <c r="C144" s="44" t="s">
        <v>278</v>
      </c>
      <c r="D144" s="25" t="s">
        <v>206</v>
      </c>
      <c r="E144" s="25" t="s">
        <v>406</v>
      </c>
      <c r="F144" s="44" t="s">
        <v>264</v>
      </c>
      <c r="G144" s="87">
        <f>6825+10000</f>
        <v>16825</v>
      </c>
      <c r="H144" s="83">
        <f>3057.27+6009.51</f>
        <v>9066.78</v>
      </c>
      <c r="I144" s="83">
        <f>G144-H144</f>
        <v>7758.219999999999</v>
      </c>
      <c r="J144" s="374"/>
    </row>
    <row r="145" spans="1:10" s="9" customFormat="1" ht="12.75">
      <c r="A145" s="158" t="s">
        <v>65</v>
      </c>
      <c r="B145" s="160" t="s">
        <v>90</v>
      </c>
      <c r="C145" s="159" t="s">
        <v>278</v>
      </c>
      <c r="D145" s="159" t="s">
        <v>206</v>
      </c>
      <c r="E145" s="160" t="s">
        <v>66</v>
      </c>
      <c r="F145" s="160"/>
      <c r="G145" s="178">
        <f>G146</f>
        <v>0</v>
      </c>
      <c r="H145" s="161">
        <f>H146</f>
        <v>0</v>
      </c>
      <c r="I145" s="161">
        <f>I146</f>
        <v>0</v>
      </c>
      <c r="J145" s="373"/>
    </row>
    <row r="146" spans="1:10" s="5" customFormat="1" ht="22.5" customHeight="1">
      <c r="A146" s="38" t="s">
        <v>265</v>
      </c>
      <c r="B146" s="25" t="s">
        <v>90</v>
      </c>
      <c r="C146" s="44" t="s">
        <v>278</v>
      </c>
      <c r="D146" s="25" t="s">
        <v>206</v>
      </c>
      <c r="E146" s="25" t="s">
        <v>66</v>
      </c>
      <c r="F146" s="44" t="s">
        <v>194</v>
      </c>
      <c r="G146" s="87">
        <v>0</v>
      </c>
      <c r="H146" s="83"/>
      <c r="I146" s="220"/>
      <c r="J146" s="237"/>
    </row>
    <row r="147" spans="1:10" s="5" customFormat="1" ht="22.5" customHeight="1">
      <c r="A147" s="172" t="s">
        <v>69</v>
      </c>
      <c r="B147" s="173" t="s">
        <v>90</v>
      </c>
      <c r="C147" s="174" t="s">
        <v>278</v>
      </c>
      <c r="D147" s="174" t="s">
        <v>206</v>
      </c>
      <c r="E147" s="173" t="s">
        <v>70</v>
      </c>
      <c r="F147" s="174"/>
      <c r="G147" s="269">
        <f>G148</f>
        <v>292676.98</v>
      </c>
      <c r="H147" s="175">
        <f>H148</f>
        <v>284038.45</v>
      </c>
      <c r="I147" s="175">
        <f>I148</f>
        <v>8638.529999999999</v>
      </c>
      <c r="J147" s="237"/>
    </row>
    <row r="148" spans="1:10" s="5" customFormat="1" ht="15" customHeight="1">
      <c r="A148" s="41" t="s">
        <v>648</v>
      </c>
      <c r="B148" s="25" t="s">
        <v>90</v>
      </c>
      <c r="C148" s="44" t="s">
        <v>278</v>
      </c>
      <c r="D148" s="44" t="s">
        <v>206</v>
      </c>
      <c r="E148" s="25" t="s">
        <v>70</v>
      </c>
      <c r="F148" s="25" t="s">
        <v>191</v>
      </c>
      <c r="G148" s="87">
        <f>G149+G154+G150+G151+G152+G153+G155+G158+G156+G157</f>
        <v>292676.98</v>
      </c>
      <c r="H148" s="87">
        <v>284038.45</v>
      </c>
      <c r="I148" s="87">
        <f>I149+I154+I150+I151+I152+I153+I155+I158+I156</f>
        <v>8638.529999999999</v>
      </c>
      <c r="J148" s="247"/>
    </row>
    <row r="149" spans="1:10" s="5" customFormat="1" ht="15" customHeight="1" hidden="1">
      <c r="A149" s="64" t="s">
        <v>647</v>
      </c>
      <c r="B149" s="25"/>
      <c r="C149" s="44"/>
      <c r="D149" s="44"/>
      <c r="E149" s="25"/>
      <c r="F149" s="25"/>
      <c r="G149" s="87">
        <v>29232</v>
      </c>
      <c r="H149" s="83">
        <v>29232</v>
      </c>
      <c r="I149" s="83">
        <f aca="true" t="shared" si="6" ref="I149:I158">G149-H149</f>
        <v>0</v>
      </c>
      <c r="J149" s="247"/>
    </row>
    <row r="150" spans="1:10" s="5" customFormat="1" ht="15" customHeight="1" hidden="1">
      <c r="A150" s="64" t="s">
        <v>750</v>
      </c>
      <c r="B150" s="25"/>
      <c r="C150" s="44"/>
      <c r="D150" s="44"/>
      <c r="E150" s="25"/>
      <c r="F150" s="25"/>
      <c r="G150" s="87">
        <f>297948-142884</f>
        <v>155064</v>
      </c>
      <c r="H150" s="83">
        <v>155064</v>
      </c>
      <c r="I150" s="83">
        <f t="shared" si="6"/>
        <v>0</v>
      </c>
      <c r="J150" s="247"/>
    </row>
    <row r="151" spans="1:10" s="5" customFormat="1" ht="15" customHeight="1" hidden="1">
      <c r="A151" s="64" t="s">
        <v>769</v>
      </c>
      <c r="B151" s="25"/>
      <c r="C151" s="44"/>
      <c r="D151" s="44"/>
      <c r="E151" s="25"/>
      <c r="F151" s="25"/>
      <c r="G151" s="87">
        <v>9500</v>
      </c>
      <c r="H151" s="83">
        <v>9500</v>
      </c>
      <c r="I151" s="83">
        <f t="shared" si="6"/>
        <v>0</v>
      </c>
      <c r="J151" s="247"/>
    </row>
    <row r="152" spans="1:10" s="5" customFormat="1" ht="15" customHeight="1" hidden="1">
      <c r="A152" s="64" t="s">
        <v>795</v>
      </c>
      <c r="B152" s="25"/>
      <c r="C152" s="44"/>
      <c r="D152" s="44"/>
      <c r="E152" s="25"/>
      <c r="F152" s="25"/>
      <c r="G152" s="87">
        <v>30000</v>
      </c>
      <c r="H152" s="83">
        <v>30000</v>
      </c>
      <c r="I152" s="83">
        <f t="shared" si="6"/>
        <v>0</v>
      </c>
      <c r="J152" s="247"/>
    </row>
    <row r="153" spans="1:10" s="5" customFormat="1" ht="15" customHeight="1" hidden="1">
      <c r="A153" s="64" t="s">
        <v>835</v>
      </c>
      <c r="B153" s="25"/>
      <c r="C153" s="44"/>
      <c r="D153" s="44"/>
      <c r="E153" s="25"/>
      <c r="F153" s="25"/>
      <c r="G153" s="87">
        <f>104400-73080</f>
        <v>31320</v>
      </c>
      <c r="H153" s="83">
        <v>31320</v>
      </c>
      <c r="I153" s="83">
        <f t="shared" si="6"/>
        <v>0</v>
      </c>
      <c r="J153" s="247"/>
    </row>
    <row r="154" spans="1:10" s="5" customFormat="1" ht="15" customHeight="1" hidden="1">
      <c r="A154" s="64" t="s">
        <v>844</v>
      </c>
      <c r="B154" s="25"/>
      <c r="C154" s="44"/>
      <c r="D154" s="44"/>
      <c r="E154" s="25"/>
      <c r="F154" s="25"/>
      <c r="G154" s="87">
        <v>373.45</v>
      </c>
      <c r="H154" s="83">
        <v>373.45</v>
      </c>
      <c r="I154" s="83">
        <f t="shared" si="6"/>
        <v>0</v>
      </c>
      <c r="J154" s="247"/>
    </row>
    <row r="155" spans="1:10" s="5" customFormat="1" ht="15" customHeight="1" hidden="1">
      <c r="A155" s="64" t="s">
        <v>849</v>
      </c>
      <c r="B155" s="25"/>
      <c r="C155" s="44"/>
      <c r="D155" s="44"/>
      <c r="E155" s="25"/>
      <c r="F155" s="25"/>
      <c r="G155" s="87">
        <v>15000</v>
      </c>
      <c r="H155" s="83">
        <v>15000</v>
      </c>
      <c r="I155" s="83">
        <f t="shared" si="6"/>
        <v>0</v>
      </c>
      <c r="J155" s="247"/>
    </row>
    <row r="156" spans="1:10" s="5" customFormat="1" ht="15" customHeight="1" hidden="1">
      <c r="A156" s="64" t="s">
        <v>869</v>
      </c>
      <c r="B156" s="25"/>
      <c r="C156" s="44"/>
      <c r="D156" s="44"/>
      <c r="E156" s="25"/>
      <c r="F156" s="25"/>
      <c r="G156" s="87">
        <v>6050</v>
      </c>
      <c r="H156" s="83">
        <v>6050</v>
      </c>
      <c r="I156" s="83">
        <f t="shared" si="6"/>
        <v>0</v>
      </c>
      <c r="J156" s="247"/>
    </row>
    <row r="157" spans="1:10" s="5" customFormat="1" ht="15" customHeight="1" hidden="1">
      <c r="A157" s="64" t="s">
        <v>874</v>
      </c>
      <c r="B157" s="25"/>
      <c r="C157" s="44"/>
      <c r="D157" s="44"/>
      <c r="E157" s="25"/>
      <c r="F157" s="25"/>
      <c r="G157" s="87">
        <v>7499</v>
      </c>
      <c r="H157" s="83">
        <v>7499</v>
      </c>
      <c r="I157" s="83">
        <f t="shared" si="6"/>
        <v>0</v>
      </c>
      <c r="J157" s="247"/>
    </row>
    <row r="158" spans="1:10" s="5" customFormat="1" ht="15" customHeight="1" hidden="1">
      <c r="A158" s="64" t="s">
        <v>609</v>
      </c>
      <c r="B158" s="25"/>
      <c r="C158" s="44"/>
      <c r="D158" s="44"/>
      <c r="E158" s="25"/>
      <c r="F158" s="25"/>
      <c r="G158" s="87">
        <f>37370-15000+26737.53+73080-100000-6050-7499</f>
        <v>8638.529999999999</v>
      </c>
      <c r="H158" s="83"/>
      <c r="I158" s="83">
        <f t="shared" si="6"/>
        <v>8638.529999999999</v>
      </c>
      <c r="J158" s="247"/>
    </row>
    <row r="159" spans="1:38" s="5" customFormat="1" ht="15" customHeight="1">
      <c r="A159" s="209" t="s">
        <v>77</v>
      </c>
      <c r="B159" s="159" t="s">
        <v>90</v>
      </c>
      <c r="C159" s="174" t="s">
        <v>278</v>
      </c>
      <c r="D159" s="174" t="s">
        <v>206</v>
      </c>
      <c r="E159" s="174" t="s">
        <v>78</v>
      </c>
      <c r="F159" s="44"/>
      <c r="G159" s="178">
        <f>G161+G162+G160</f>
        <v>2345248.27</v>
      </c>
      <c r="H159" s="178">
        <f>H161+H162+H160</f>
        <v>2032391.39</v>
      </c>
      <c r="I159" s="178">
        <f>I161+I162+I160</f>
        <v>332156.88000000006</v>
      </c>
      <c r="J159" s="23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s="5" customFormat="1" ht="15" customHeight="1">
      <c r="A160" s="153" t="s">
        <v>552</v>
      </c>
      <c r="B160" s="44" t="s">
        <v>90</v>
      </c>
      <c r="C160" s="44" t="s">
        <v>278</v>
      </c>
      <c r="D160" s="44" t="s">
        <v>206</v>
      </c>
      <c r="E160" s="44" t="s">
        <v>411</v>
      </c>
      <c r="F160" s="44" t="s">
        <v>397</v>
      </c>
      <c r="G160" s="87"/>
      <c r="H160" s="87"/>
      <c r="I160" s="87">
        <f>G160-H160</f>
        <v>0</v>
      </c>
      <c r="J160" s="237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s="248" customFormat="1" ht="12.75">
      <c r="A161" s="281" t="s">
        <v>223</v>
      </c>
      <c r="B161" s="44" t="s">
        <v>90</v>
      </c>
      <c r="C161" s="44" t="s">
        <v>278</v>
      </c>
      <c r="D161" s="44" t="s">
        <v>206</v>
      </c>
      <c r="E161" s="44" t="s">
        <v>407</v>
      </c>
      <c r="F161" s="44" t="s">
        <v>192</v>
      </c>
      <c r="G161" s="87">
        <f>943949+2000+160080-74373+134100+124057-215567.73</f>
        <v>1074245.27</v>
      </c>
      <c r="H161" s="87">
        <v>948068.22</v>
      </c>
      <c r="I161" s="87">
        <f>G161-H161</f>
        <v>126177.05000000005</v>
      </c>
      <c r="J161" s="37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14" s="14" customFormat="1" ht="38.25">
      <c r="A162" s="281" t="s">
        <v>613</v>
      </c>
      <c r="B162" s="44" t="s">
        <v>90</v>
      </c>
      <c r="C162" s="44" t="s">
        <v>278</v>
      </c>
      <c r="D162" s="44" t="s">
        <v>206</v>
      </c>
      <c r="E162" s="44" t="s">
        <v>398</v>
      </c>
      <c r="F162" s="44" t="s">
        <v>193</v>
      </c>
      <c r="G162" s="87">
        <f>G182+G183+G184+G185+G186+G187+G189+G188</f>
        <v>1271003</v>
      </c>
      <c r="H162" s="87">
        <v>1084323.17</v>
      </c>
      <c r="I162" s="87">
        <f>I182+I183+I184+I185+I186+I187+I189+I188</f>
        <v>205979.83000000002</v>
      </c>
      <c r="J162" s="247"/>
      <c r="K162" s="242"/>
      <c r="L162" s="242"/>
      <c r="M162" s="242"/>
      <c r="N162" s="242"/>
    </row>
    <row r="163" spans="1:10" s="4" customFormat="1" ht="38.25" hidden="1">
      <c r="A163" s="49" t="s">
        <v>92</v>
      </c>
      <c r="B163" s="50" t="s">
        <v>93</v>
      </c>
      <c r="C163" s="44" t="s">
        <v>278</v>
      </c>
      <c r="D163" s="50" t="s">
        <v>7</v>
      </c>
      <c r="E163" s="50"/>
      <c r="F163" s="50"/>
      <c r="G163" s="87"/>
      <c r="H163" s="83"/>
      <c r="I163" s="222"/>
      <c r="J163" s="297"/>
    </row>
    <row r="164" spans="1:10" s="8" customFormat="1" ht="25.5" hidden="1">
      <c r="A164" s="30" t="s">
        <v>94</v>
      </c>
      <c r="B164" s="31" t="s">
        <v>93</v>
      </c>
      <c r="C164" s="44" t="s">
        <v>278</v>
      </c>
      <c r="D164" s="31" t="s">
        <v>95</v>
      </c>
      <c r="E164" s="31"/>
      <c r="F164" s="31"/>
      <c r="G164" s="87"/>
      <c r="H164" s="83"/>
      <c r="I164" s="223"/>
      <c r="J164" s="373"/>
    </row>
    <row r="165" spans="1:10" s="8" customFormat="1" ht="9.75" customHeight="1" hidden="1">
      <c r="A165" s="51" t="s">
        <v>96</v>
      </c>
      <c r="B165" s="40" t="s">
        <v>93</v>
      </c>
      <c r="C165" s="44" t="s">
        <v>278</v>
      </c>
      <c r="D165" s="40" t="s">
        <v>95</v>
      </c>
      <c r="E165" s="40" t="s">
        <v>97</v>
      </c>
      <c r="F165" s="40"/>
      <c r="G165" s="87"/>
      <c r="H165" s="83"/>
      <c r="I165" s="223"/>
      <c r="J165" s="373"/>
    </row>
    <row r="166" spans="1:10" s="11" customFormat="1" ht="12.75" customHeight="1" hidden="1">
      <c r="A166" s="52" t="s">
        <v>98</v>
      </c>
      <c r="B166" s="43"/>
      <c r="C166" s="44" t="s">
        <v>278</v>
      </c>
      <c r="D166" s="43"/>
      <c r="E166" s="43"/>
      <c r="F166" s="43"/>
      <c r="G166" s="87"/>
      <c r="H166" s="83"/>
      <c r="I166" s="224"/>
      <c r="J166" s="384"/>
    </row>
    <row r="167" spans="1:10" s="11" customFormat="1" ht="15" customHeight="1" hidden="1">
      <c r="A167" s="52" t="s">
        <v>99</v>
      </c>
      <c r="B167" s="43"/>
      <c r="C167" s="44" t="s">
        <v>278</v>
      </c>
      <c r="D167" s="43"/>
      <c r="E167" s="43"/>
      <c r="F167" s="43"/>
      <c r="G167" s="87"/>
      <c r="H167" s="83"/>
      <c r="I167" s="224"/>
      <c r="J167" s="384"/>
    </row>
    <row r="168" spans="1:10" s="11" customFormat="1" ht="21" customHeight="1" hidden="1">
      <c r="A168" s="176" t="s">
        <v>295</v>
      </c>
      <c r="B168" s="28" t="s">
        <v>90</v>
      </c>
      <c r="C168" s="36"/>
      <c r="D168" s="28" t="s">
        <v>68</v>
      </c>
      <c r="E168" s="28"/>
      <c r="F168" s="28"/>
      <c r="G168" s="93">
        <f>G170+G178+G169</f>
        <v>0</v>
      </c>
      <c r="H168" s="93">
        <f>H170+H178+H169</f>
        <v>0</v>
      </c>
      <c r="I168" s="93">
        <f>I170+I178+I169</f>
        <v>0</v>
      </c>
      <c r="J168" s="385"/>
    </row>
    <row r="169" spans="1:10" s="11" customFormat="1" ht="36.75" customHeight="1" hidden="1">
      <c r="A169" s="52" t="s">
        <v>296</v>
      </c>
      <c r="B169" s="43" t="s">
        <v>90</v>
      </c>
      <c r="C169" s="44" t="s">
        <v>394</v>
      </c>
      <c r="D169" s="25" t="s">
        <v>480</v>
      </c>
      <c r="E169" s="43" t="s">
        <v>408</v>
      </c>
      <c r="F169" s="43" t="s">
        <v>195</v>
      </c>
      <c r="G169" s="87">
        <f>867912-637228.59+637228.59-867912</f>
        <v>0</v>
      </c>
      <c r="H169" s="93"/>
      <c r="I169" s="87">
        <f>G169-H169</f>
        <v>0</v>
      </c>
      <c r="J169" s="385"/>
    </row>
    <row r="170" spans="1:10" s="11" customFormat="1" ht="30" customHeight="1" hidden="1">
      <c r="A170" s="52" t="s">
        <v>296</v>
      </c>
      <c r="B170" s="43" t="s">
        <v>90</v>
      </c>
      <c r="C170" s="44" t="s">
        <v>394</v>
      </c>
      <c r="D170" s="25" t="s">
        <v>226</v>
      </c>
      <c r="E170" s="43" t="s">
        <v>408</v>
      </c>
      <c r="F170" s="43" t="s">
        <v>195</v>
      </c>
      <c r="G170" s="87">
        <f>1024392+132276-622429.14-534238.86</f>
        <v>0</v>
      </c>
      <c r="H170" s="83"/>
      <c r="I170" s="87">
        <f>G170-H170</f>
        <v>0</v>
      </c>
      <c r="J170" s="384"/>
    </row>
    <row r="171" spans="1:10" s="105" customFormat="1" ht="30" customHeight="1" hidden="1">
      <c r="A171" s="216" t="s">
        <v>367</v>
      </c>
      <c r="B171" s="50" t="s">
        <v>368</v>
      </c>
      <c r="C171" s="50" t="s">
        <v>369</v>
      </c>
      <c r="D171" s="50"/>
      <c r="E171" s="50"/>
      <c r="F171" s="50"/>
      <c r="G171" s="91">
        <f>G172+G175</f>
        <v>0</v>
      </c>
      <c r="H171" s="91"/>
      <c r="I171" s="87">
        <f aca="true" t="shared" si="7" ref="I171:I181">G171-H171</f>
        <v>0</v>
      </c>
      <c r="J171" s="297"/>
    </row>
    <row r="172" spans="1:10" s="4" customFormat="1" ht="30" customHeight="1" hidden="1">
      <c r="A172" s="176" t="s">
        <v>370</v>
      </c>
      <c r="B172" s="28" t="s">
        <v>368</v>
      </c>
      <c r="C172" s="36" t="s">
        <v>371</v>
      </c>
      <c r="D172" s="28" t="s">
        <v>206</v>
      </c>
      <c r="E172" s="28"/>
      <c r="F172" s="28"/>
      <c r="G172" s="71">
        <f>G173</f>
        <v>0</v>
      </c>
      <c r="H172" s="71"/>
      <c r="I172" s="87">
        <f t="shared" si="7"/>
        <v>0</v>
      </c>
      <c r="J172" s="297"/>
    </row>
    <row r="173" spans="1:10" s="11" customFormat="1" ht="30" customHeight="1" hidden="1">
      <c r="A173" s="52" t="s">
        <v>53</v>
      </c>
      <c r="B173" s="43" t="s">
        <v>368</v>
      </c>
      <c r="C173" s="44" t="s">
        <v>371</v>
      </c>
      <c r="D173" s="25" t="s">
        <v>206</v>
      </c>
      <c r="E173" s="43" t="s">
        <v>66</v>
      </c>
      <c r="F173" s="43"/>
      <c r="G173" s="83">
        <f>G174</f>
        <v>0</v>
      </c>
      <c r="H173" s="83"/>
      <c r="I173" s="87">
        <f t="shared" si="7"/>
        <v>0</v>
      </c>
      <c r="J173" s="384"/>
    </row>
    <row r="174" spans="1:10" s="11" customFormat="1" ht="30" customHeight="1" hidden="1">
      <c r="A174" s="52" t="s">
        <v>238</v>
      </c>
      <c r="B174" s="43" t="s">
        <v>368</v>
      </c>
      <c r="C174" s="44" t="s">
        <v>371</v>
      </c>
      <c r="D174" s="25" t="s">
        <v>206</v>
      </c>
      <c r="E174" s="43" t="s">
        <v>66</v>
      </c>
      <c r="F174" s="43" t="s">
        <v>194</v>
      </c>
      <c r="G174" s="83">
        <v>0</v>
      </c>
      <c r="H174" s="83"/>
      <c r="I174" s="87">
        <f t="shared" si="7"/>
        <v>0</v>
      </c>
      <c r="J174" s="384"/>
    </row>
    <row r="175" spans="1:10" s="4" customFormat="1" ht="30" customHeight="1" hidden="1">
      <c r="A175" s="176" t="s">
        <v>372</v>
      </c>
      <c r="B175" s="28" t="s">
        <v>368</v>
      </c>
      <c r="C175" s="36" t="s">
        <v>373</v>
      </c>
      <c r="D175" s="28" t="s">
        <v>206</v>
      </c>
      <c r="E175" s="28"/>
      <c r="F175" s="28"/>
      <c r="G175" s="71">
        <f>G176</f>
        <v>0</v>
      </c>
      <c r="H175" s="71"/>
      <c r="I175" s="87">
        <f t="shared" si="7"/>
        <v>0</v>
      </c>
      <c r="J175" s="297"/>
    </row>
    <row r="176" spans="1:10" s="11" customFormat="1" ht="30" customHeight="1" hidden="1">
      <c r="A176" s="52" t="s">
        <v>53</v>
      </c>
      <c r="B176" s="43" t="s">
        <v>368</v>
      </c>
      <c r="C176" s="44" t="s">
        <v>373</v>
      </c>
      <c r="D176" s="25" t="s">
        <v>206</v>
      </c>
      <c r="E176" s="43" t="s">
        <v>66</v>
      </c>
      <c r="F176" s="43"/>
      <c r="G176" s="83">
        <f>G177</f>
        <v>0</v>
      </c>
      <c r="H176" s="83"/>
      <c r="I176" s="87">
        <f t="shared" si="7"/>
        <v>0</v>
      </c>
      <c r="J176" s="384"/>
    </row>
    <row r="177" spans="1:10" s="11" customFormat="1" ht="30" customHeight="1" hidden="1">
      <c r="A177" s="52" t="s">
        <v>238</v>
      </c>
      <c r="B177" s="43" t="s">
        <v>368</v>
      </c>
      <c r="C177" s="44" t="s">
        <v>373</v>
      </c>
      <c r="D177" s="25" t="s">
        <v>206</v>
      </c>
      <c r="E177" s="43" t="s">
        <v>66</v>
      </c>
      <c r="F177" s="43" t="s">
        <v>194</v>
      </c>
      <c r="G177" s="83">
        <v>0</v>
      </c>
      <c r="H177" s="83"/>
      <c r="I177" s="87">
        <f t="shared" si="7"/>
        <v>0</v>
      </c>
      <c r="J177" s="384"/>
    </row>
    <row r="178" spans="1:10" s="11" customFormat="1" ht="30" customHeight="1" hidden="1">
      <c r="A178" s="52" t="s">
        <v>469</v>
      </c>
      <c r="B178" s="43" t="s">
        <v>90</v>
      </c>
      <c r="C178" s="44" t="s">
        <v>278</v>
      </c>
      <c r="D178" s="25" t="s">
        <v>226</v>
      </c>
      <c r="E178" s="43" t="s">
        <v>470</v>
      </c>
      <c r="F178" s="43" t="s">
        <v>216</v>
      </c>
      <c r="G178" s="83">
        <f>266000-266000+266000-266000</f>
        <v>0</v>
      </c>
      <c r="H178" s="83">
        <v>0</v>
      </c>
      <c r="I178" s="87">
        <f t="shared" si="7"/>
        <v>0</v>
      </c>
      <c r="J178" s="247"/>
    </row>
    <row r="179" spans="1:10" s="11" customFormat="1" ht="30" customHeight="1" hidden="1">
      <c r="A179" s="278" t="s">
        <v>481</v>
      </c>
      <c r="B179" s="231" t="s">
        <v>368</v>
      </c>
      <c r="C179" s="231"/>
      <c r="D179" s="231"/>
      <c r="E179" s="231"/>
      <c r="F179" s="231"/>
      <c r="G179" s="232">
        <f>G180+G181</f>
        <v>0</v>
      </c>
      <c r="H179" s="232">
        <f>H180+H181</f>
        <v>0</v>
      </c>
      <c r="I179" s="232">
        <f>I180+I181</f>
        <v>0</v>
      </c>
      <c r="J179" s="247"/>
    </row>
    <row r="180" spans="1:10" s="11" customFormat="1" ht="30" customHeight="1" hidden="1">
      <c r="A180" s="52" t="s">
        <v>482</v>
      </c>
      <c r="B180" s="43" t="s">
        <v>368</v>
      </c>
      <c r="C180" s="44" t="s">
        <v>484</v>
      </c>
      <c r="D180" s="25" t="s">
        <v>486</v>
      </c>
      <c r="E180" s="43" t="s">
        <v>468</v>
      </c>
      <c r="F180" s="43" t="s">
        <v>194</v>
      </c>
      <c r="G180" s="83"/>
      <c r="H180" s="83"/>
      <c r="I180" s="87">
        <f t="shared" si="7"/>
        <v>0</v>
      </c>
      <c r="J180" s="247"/>
    </row>
    <row r="181" spans="1:10" s="11" customFormat="1" ht="30" customHeight="1" hidden="1">
      <c r="A181" s="52" t="s">
        <v>483</v>
      </c>
      <c r="B181" s="43" t="s">
        <v>368</v>
      </c>
      <c r="C181" s="44" t="s">
        <v>485</v>
      </c>
      <c r="D181" s="25" t="s">
        <v>486</v>
      </c>
      <c r="E181" s="43" t="s">
        <v>468</v>
      </c>
      <c r="F181" s="43" t="s">
        <v>194</v>
      </c>
      <c r="G181" s="83"/>
      <c r="H181" s="83"/>
      <c r="I181" s="87">
        <f t="shared" si="7"/>
        <v>0</v>
      </c>
      <c r="J181" s="247"/>
    </row>
    <row r="182" spans="1:10" s="11" customFormat="1" ht="30" customHeight="1" hidden="1">
      <c r="A182" s="427" t="s">
        <v>618</v>
      </c>
      <c r="B182" s="42"/>
      <c r="C182" s="46"/>
      <c r="D182" s="42"/>
      <c r="E182" s="42"/>
      <c r="F182" s="42"/>
      <c r="G182" s="82">
        <f>332500+74373+8501.03+30331</f>
        <v>445705.03</v>
      </c>
      <c r="H182" s="82">
        <f>400+26000+174025+21270+90000+85000+40000+1150+6960+900</f>
        <v>445705</v>
      </c>
      <c r="I182" s="268">
        <f aca="true" t="shared" si="8" ref="I182:I191">G182-H182</f>
        <v>0.030000000027939677</v>
      </c>
      <c r="J182" s="247"/>
    </row>
    <row r="183" spans="1:10" s="11" customFormat="1" ht="30" customHeight="1" hidden="1">
      <c r="A183" s="427" t="s">
        <v>614</v>
      </c>
      <c r="B183" s="42"/>
      <c r="C183" s="46"/>
      <c r="D183" s="42"/>
      <c r="E183" s="42"/>
      <c r="F183" s="42"/>
      <c r="G183" s="82">
        <f>351000-29297.95-1970</f>
        <v>319732.05</v>
      </c>
      <c r="H183" s="82">
        <v>254017.75</v>
      </c>
      <c r="I183" s="268">
        <f t="shared" si="8"/>
        <v>65714.29999999999</v>
      </c>
      <c r="J183" s="247"/>
    </row>
    <row r="184" spans="1:10" s="11" customFormat="1" ht="30" customHeight="1" hidden="1">
      <c r="A184" s="427" t="s">
        <v>615</v>
      </c>
      <c r="B184" s="42"/>
      <c r="C184" s="46"/>
      <c r="D184" s="42"/>
      <c r="E184" s="42"/>
      <c r="F184" s="42"/>
      <c r="G184" s="82">
        <f>135030+29297.95-8501.03</f>
        <v>155826.92</v>
      </c>
      <c r="H184" s="82">
        <v>112999</v>
      </c>
      <c r="I184" s="268">
        <f t="shared" si="8"/>
        <v>42827.92000000001</v>
      </c>
      <c r="J184" s="247"/>
    </row>
    <row r="185" spans="1:10" s="11" customFormat="1" ht="30" customHeight="1" hidden="1">
      <c r="A185" s="427" t="s">
        <v>616</v>
      </c>
      <c r="B185" s="42"/>
      <c r="C185" s="46"/>
      <c r="D185" s="42"/>
      <c r="E185" s="42" t="s">
        <v>663</v>
      </c>
      <c r="F185" s="42"/>
      <c r="G185" s="82">
        <f>208100</f>
        <v>208100</v>
      </c>
      <c r="H185" s="82">
        <v>199774.42</v>
      </c>
      <c r="I185" s="268">
        <f t="shared" si="8"/>
        <v>8325.579999999987</v>
      </c>
      <c r="J185" s="247"/>
    </row>
    <row r="186" spans="1:10" s="11" customFormat="1" ht="30" customHeight="1" hidden="1">
      <c r="A186" s="427" t="s">
        <v>617</v>
      </c>
      <c r="B186" s="42"/>
      <c r="C186" s="46"/>
      <c r="D186" s="42"/>
      <c r="E186" s="42"/>
      <c r="F186" s="42"/>
      <c r="G186" s="82">
        <v>1970</v>
      </c>
      <c r="H186" s="82">
        <v>1970</v>
      </c>
      <c r="I186" s="268">
        <f t="shared" si="8"/>
        <v>0</v>
      </c>
      <c r="J186" s="247"/>
    </row>
    <row r="187" spans="1:10" s="11" customFormat="1" ht="30" customHeight="1" hidden="1">
      <c r="A187" s="427" t="s">
        <v>852</v>
      </c>
      <c r="B187" s="42"/>
      <c r="C187" s="46"/>
      <c r="D187" s="42"/>
      <c r="E187" s="42"/>
      <c r="F187" s="42"/>
      <c r="G187" s="82">
        <v>499</v>
      </c>
      <c r="H187" s="82">
        <v>499</v>
      </c>
      <c r="I187" s="268">
        <f t="shared" si="8"/>
        <v>0</v>
      </c>
      <c r="J187" s="247"/>
    </row>
    <row r="188" spans="1:10" s="11" customFormat="1" ht="30" customHeight="1" hidden="1">
      <c r="A188" s="427" t="s">
        <v>860</v>
      </c>
      <c r="B188" s="42"/>
      <c r="C188" s="46"/>
      <c r="D188" s="42"/>
      <c r="E188" s="42"/>
      <c r="F188" s="42"/>
      <c r="G188" s="82">
        <v>50058</v>
      </c>
      <c r="H188" s="82">
        <v>50058</v>
      </c>
      <c r="I188" s="268">
        <f t="shared" si="8"/>
        <v>0</v>
      </c>
      <c r="J188" s="247"/>
    </row>
    <row r="189" spans="1:10" s="11" customFormat="1" ht="30" customHeight="1" hidden="1">
      <c r="A189" s="427" t="s">
        <v>609</v>
      </c>
      <c r="B189" s="42"/>
      <c r="C189" s="46"/>
      <c r="D189" s="42"/>
      <c r="E189" s="42"/>
      <c r="F189" s="42"/>
      <c r="G189" s="82">
        <f>169501-50058-30331</f>
        <v>89112</v>
      </c>
      <c r="H189" s="82"/>
      <c r="I189" s="268">
        <f t="shared" si="8"/>
        <v>89112</v>
      </c>
      <c r="J189" s="247"/>
    </row>
    <row r="190" spans="1:10" s="11" customFormat="1" ht="30" customHeight="1">
      <c r="A190" s="441" t="s">
        <v>796</v>
      </c>
      <c r="B190" s="44" t="s">
        <v>90</v>
      </c>
      <c r="C190" s="44" t="s">
        <v>278</v>
      </c>
      <c r="D190" s="44" t="s">
        <v>226</v>
      </c>
      <c r="E190" s="44" t="s">
        <v>408</v>
      </c>
      <c r="F190" s="44"/>
      <c r="G190" s="83">
        <f>4153.23+4926.57</f>
        <v>9079.8</v>
      </c>
      <c r="H190" s="83">
        <v>9079.8</v>
      </c>
      <c r="I190" s="87">
        <f t="shared" si="8"/>
        <v>0</v>
      </c>
      <c r="J190" s="247"/>
    </row>
    <row r="191" spans="1:10" s="11" customFormat="1" ht="30" customHeight="1">
      <c r="A191" s="441" t="s">
        <v>469</v>
      </c>
      <c r="B191" s="44" t="s">
        <v>90</v>
      </c>
      <c r="C191" s="44" t="s">
        <v>278</v>
      </c>
      <c r="D191" s="44" t="s">
        <v>226</v>
      </c>
      <c r="E191" s="44" t="s">
        <v>470</v>
      </c>
      <c r="F191" s="44"/>
      <c r="G191" s="83">
        <v>156986.79</v>
      </c>
      <c r="H191" s="83">
        <v>156989.79</v>
      </c>
      <c r="I191" s="87">
        <f t="shared" si="8"/>
        <v>-3</v>
      </c>
      <c r="J191" s="247"/>
    </row>
    <row r="192" spans="1:10" s="11" customFormat="1" ht="21" customHeight="1">
      <c r="A192" s="278" t="s">
        <v>434</v>
      </c>
      <c r="B192" s="231" t="s">
        <v>435</v>
      </c>
      <c r="C192" s="231"/>
      <c r="D192" s="231"/>
      <c r="E192" s="231"/>
      <c r="F192" s="231"/>
      <c r="G192" s="232">
        <f>G193</f>
        <v>1696429.37</v>
      </c>
      <c r="H192" s="232">
        <f>H193</f>
        <v>0</v>
      </c>
      <c r="I192" s="232">
        <f>I193</f>
        <v>1696429.37</v>
      </c>
      <c r="J192" s="384"/>
    </row>
    <row r="193" spans="1:10" s="11" customFormat="1" ht="30" customHeight="1">
      <c r="A193" s="52" t="s">
        <v>440</v>
      </c>
      <c r="B193" s="43" t="s">
        <v>435</v>
      </c>
      <c r="C193" s="44" t="s">
        <v>299</v>
      </c>
      <c r="D193" s="25" t="s">
        <v>421</v>
      </c>
      <c r="E193" s="43" t="s">
        <v>281</v>
      </c>
      <c r="F193" s="43"/>
      <c r="G193" s="83">
        <v>1696429.37</v>
      </c>
      <c r="H193" s="83">
        <v>0</v>
      </c>
      <c r="I193" s="85">
        <f>G193-H193</f>
        <v>1696429.37</v>
      </c>
      <c r="J193" s="384"/>
    </row>
    <row r="194" spans="1:10" s="4" customFormat="1" ht="25.5">
      <c r="A194" s="49" t="s">
        <v>100</v>
      </c>
      <c r="B194" s="50" t="s">
        <v>205</v>
      </c>
      <c r="C194" s="50"/>
      <c r="D194" s="50"/>
      <c r="E194" s="50"/>
      <c r="F194" s="50"/>
      <c r="G194" s="91">
        <f>G216+G266</f>
        <v>63023090.16</v>
      </c>
      <c r="H194" s="91">
        <f>H216+H266</f>
        <v>37055388.56</v>
      </c>
      <c r="I194" s="91">
        <f>I216+I266</f>
        <v>25808285.109999992</v>
      </c>
      <c r="J194" s="364"/>
    </row>
    <row r="195" spans="1:10" s="5" customFormat="1" ht="38.25" hidden="1">
      <c r="A195" s="53" t="s">
        <v>101</v>
      </c>
      <c r="B195" s="25"/>
      <c r="C195" s="25"/>
      <c r="D195" s="25"/>
      <c r="E195" s="25"/>
      <c r="F195" s="25"/>
      <c r="G195" s="83"/>
      <c r="H195" s="83"/>
      <c r="I195" s="140"/>
      <c r="J195" s="237"/>
    </row>
    <row r="196" spans="1:10" s="5" customFormat="1" ht="76.5" hidden="1">
      <c r="A196" s="54" t="s">
        <v>102</v>
      </c>
      <c r="B196" s="25"/>
      <c r="C196" s="25"/>
      <c r="D196" s="25"/>
      <c r="E196" s="25"/>
      <c r="F196" s="25"/>
      <c r="G196" s="83"/>
      <c r="H196" s="83"/>
      <c r="I196" s="140"/>
      <c r="J196" s="237"/>
    </row>
    <row r="197" spans="1:10" s="5" customFormat="1" ht="76.5" hidden="1">
      <c r="A197" s="55" t="s">
        <v>103</v>
      </c>
      <c r="B197" s="25"/>
      <c r="C197" s="25"/>
      <c r="D197" s="25"/>
      <c r="E197" s="25"/>
      <c r="F197" s="25"/>
      <c r="G197" s="83"/>
      <c r="H197" s="83"/>
      <c r="I197" s="140"/>
      <c r="J197" s="237"/>
    </row>
    <row r="198" spans="1:10" s="5" customFormat="1" ht="23.25" customHeight="1" hidden="1">
      <c r="A198" s="55" t="s">
        <v>104</v>
      </c>
      <c r="B198" s="25"/>
      <c r="C198" s="25"/>
      <c r="D198" s="25"/>
      <c r="E198" s="25"/>
      <c r="F198" s="25"/>
      <c r="G198" s="83"/>
      <c r="H198" s="83"/>
      <c r="I198" s="140"/>
      <c r="J198" s="237"/>
    </row>
    <row r="199" spans="1:10" s="5" customFormat="1" ht="25.5" hidden="1">
      <c r="A199" s="56" t="s">
        <v>105</v>
      </c>
      <c r="B199" s="25"/>
      <c r="C199" s="25"/>
      <c r="D199" s="25"/>
      <c r="E199" s="25"/>
      <c r="F199" s="25"/>
      <c r="G199" s="83"/>
      <c r="H199" s="83"/>
      <c r="I199" s="140"/>
      <c r="J199" s="237"/>
    </row>
    <row r="200" spans="1:10" s="5" customFormat="1" ht="12.75" hidden="1">
      <c r="A200" s="55" t="s">
        <v>106</v>
      </c>
      <c r="B200" s="25"/>
      <c r="C200" s="25"/>
      <c r="D200" s="25"/>
      <c r="E200" s="25"/>
      <c r="F200" s="25"/>
      <c r="G200" s="83"/>
      <c r="H200" s="83"/>
      <c r="I200" s="140"/>
      <c r="J200" s="237"/>
    </row>
    <row r="201" spans="1:10" s="5" customFormat="1" ht="25.5" hidden="1">
      <c r="A201" s="57" t="s">
        <v>107</v>
      </c>
      <c r="B201" s="25"/>
      <c r="C201" s="25"/>
      <c r="D201" s="25"/>
      <c r="E201" s="25"/>
      <c r="F201" s="25"/>
      <c r="G201" s="83"/>
      <c r="H201" s="83"/>
      <c r="I201" s="140"/>
      <c r="J201" s="237"/>
    </row>
    <row r="202" spans="1:10" s="5" customFormat="1" ht="38.25" hidden="1">
      <c r="A202" s="58" t="s">
        <v>108</v>
      </c>
      <c r="B202" s="25"/>
      <c r="C202" s="25"/>
      <c r="D202" s="25"/>
      <c r="E202" s="25"/>
      <c r="F202" s="25"/>
      <c r="G202" s="83"/>
      <c r="H202" s="83"/>
      <c r="I202" s="140"/>
      <c r="J202" s="237"/>
    </row>
    <row r="203" spans="1:10" s="5" customFormat="1" ht="12.75" hidden="1">
      <c r="A203" s="59" t="s">
        <v>109</v>
      </c>
      <c r="B203" s="25"/>
      <c r="C203" s="25"/>
      <c r="D203" s="25"/>
      <c r="E203" s="25"/>
      <c r="F203" s="25"/>
      <c r="G203" s="83"/>
      <c r="H203" s="83"/>
      <c r="I203" s="140"/>
      <c r="J203" s="237"/>
    </row>
    <row r="204" spans="1:10" s="5" customFormat="1" ht="12.75" hidden="1">
      <c r="A204" s="59" t="s">
        <v>110</v>
      </c>
      <c r="B204" s="25"/>
      <c r="C204" s="25"/>
      <c r="D204" s="25"/>
      <c r="E204" s="25"/>
      <c r="F204" s="25"/>
      <c r="G204" s="83"/>
      <c r="H204" s="83"/>
      <c r="I204" s="140"/>
      <c r="J204" s="237"/>
    </row>
    <row r="205" spans="1:10" s="5" customFormat="1" ht="38.25" hidden="1">
      <c r="A205" s="60" t="s">
        <v>111</v>
      </c>
      <c r="B205" s="25"/>
      <c r="C205" s="25"/>
      <c r="D205" s="25"/>
      <c r="E205" s="25"/>
      <c r="F205" s="25"/>
      <c r="G205" s="83"/>
      <c r="H205" s="83"/>
      <c r="I205" s="140"/>
      <c r="J205" s="237"/>
    </row>
    <row r="206" spans="1:10" s="5" customFormat="1" ht="51" hidden="1">
      <c r="A206" s="60" t="s">
        <v>112</v>
      </c>
      <c r="B206" s="25"/>
      <c r="C206" s="25"/>
      <c r="D206" s="25"/>
      <c r="E206" s="25"/>
      <c r="F206" s="25"/>
      <c r="G206" s="83"/>
      <c r="H206" s="83"/>
      <c r="I206" s="140"/>
      <c r="J206" s="237"/>
    </row>
    <row r="207" spans="1:10" s="5" customFormat="1" ht="25.5" hidden="1">
      <c r="A207" s="61" t="s">
        <v>113</v>
      </c>
      <c r="B207" s="25"/>
      <c r="C207" s="25"/>
      <c r="D207" s="25"/>
      <c r="E207" s="25"/>
      <c r="F207" s="25"/>
      <c r="G207" s="83"/>
      <c r="H207" s="83"/>
      <c r="I207" s="140"/>
      <c r="J207" s="237"/>
    </row>
    <row r="208" spans="1:10" s="5" customFormat="1" ht="25.5" hidden="1">
      <c r="A208" s="62" t="s">
        <v>114</v>
      </c>
      <c r="B208" s="25"/>
      <c r="C208" s="25"/>
      <c r="D208" s="25"/>
      <c r="E208" s="25"/>
      <c r="F208" s="25"/>
      <c r="G208" s="83"/>
      <c r="H208" s="83"/>
      <c r="I208" s="140"/>
      <c r="J208" s="237"/>
    </row>
    <row r="209" spans="1:10" s="5" customFormat="1" ht="25.5" hidden="1">
      <c r="A209" s="62" t="s">
        <v>115</v>
      </c>
      <c r="B209" s="25"/>
      <c r="C209" s="25"/>
      <c r="D209" s="25"/>
      <c r="E209" s="25"/>
      <c r="F209" s="25"/>
      <c r="G209" s="83"/>
      <c r="H209" s="83"/>
      <c r="I209" s="140"/>
      <c r="J209" s="237"/>
    </row>
    <row r="210" spans="1:10" s="5" customFormat="1" ht="25.5" hidden="1">
      <c r="A210" s="62" t="s">
        <v>116</v>
      </c>
      <c r="B210" s="25"/>
      <c r="C210" s="25"/>
      <c r="D210" s="25"/>
      <c r="E210" s="25"/>
      <c r="F210" s="25"/>
      <c r="G210" s="83"/>
      <c r="H210" s="83"/>
      <c r="I210" s="140"/>
      <c r="J210" s="237"/>
    </row>
    <row r="211" spans="1:10" s="5" customFormat="1" ht="12.75" hidden="1">
      <c r="A211" s="57" t="s">
        <v>117</v>
      </c>
      <c r="B211" s="25"/>
      <c r="C211" s="25"/>
      <c r="D211" s="25"/>
      <c r="E211" s="25"/>
      <c r="F211" s="25"/>
      <c r="G211" s="83"/>
      <c r="H211" s="83"/>
      <c r="I211" s="140"/>
      <c r="J211" s="237"/>
    </row>
    <row r="212" spans="1:10" s="5" customFormat="1" ht="25.5" hidden="1">
      <c r="A212" s="57" t="s">
        <v>118</v>
      </c>
      <c r="B212" s="25"/>
      <c r="C212" s="25"/>
      <c r="D212" s="25"/>
      <c r="E212" s="25"/>
      <c r="F212" s="25"/>
      <c r="G212" s="83"/>
      <c r="H212" s="83"/>
      <c r="I212" s="140"/>
      <c r="J212" s="237"/>
    </row>
    <row r="213" spans="1:10" s="5" customFormat="1" ht="25.5" hidden="1">
      <c r="A213" s="57" t="s">
        <v>119</v>
      </c>
      <c r="B213" s="25"/>
      <c r="C213" s="25"/>
      <c r="D213" s="25"/>
      <c r="E213" s="25"/>
      <c r="F213" s="25"/>
      <c r="G213" s="83"/>
      <c r="H213" s="83"/>
      <c r="I213" s="140"/>
      <c r="J213" s="237"/>
    </row>
    <row r="214" spans="1:10" s="5" customFormat="1" ht="25.5" hidden="1">
      <c r="A214" s="63" t="s">
        <v>120</v>
      </c>
      <c r="B214" s="25"/>
      <c r="C214" s="25"/>
      <c r="D214" s="25"/>
      <c r="E214" s="25"/>
      <c r="F214" s="25"/>
      <c r="G214" s="83"/>
      <c r="H214" s="83"/>
      <c r="I214" s="140"/>
      <c r="J214" s="237"/>
    </row>
    <row r="215" spans="1:10" s="5" customFormat="1" ht="25.5" hidden="1">
      <c r="A215" s="22" t="s">
        <v>121</v>
      </c>
      <c r="B215" s="23" t="s">
        <v>122</v>
      </c>
      <c r="C215" s="23" t="s">
        <v>123</v>
      </c>
      <c r="D215" s="23" t="s">
        <v>124</v>
      </c>
      <c r="E215" s="23" t="s">
        <v>7</v>
      </c>
      <c r="F215" s="23"/>
      <c r="G215" s="83"/>
      <c r="H215" s="83"/>
      <c r="I215" s="140"/>
      <c r="J215" s="237"/>
    </row>
    <row r="216" spans="1:10" s="14" customFormat="1" ht="30.75" customHeight="1">
      <c r="A216" s="107" t="s">
        <v>231</v>
      </c>
      <c r="B216" s="36" t="s">
        <v>205</v>
      </c>
      <c r="C216" s="36"/>
      <c r="D216" s="36"/>
      <c r="E216" s="36"/>
      <c r="F216" s="36"/>
      <c r="G216" s="154">
        <f>G217+G225+G234+G220</f>
        <v>39177411.12</v>
      </c>
      <c r="H216" s="154">
        <f>H217+H225+H234+H220</f>
        <v>15771037.89</v>
      </c>
      <c r="I216" s="154">
        <f>I217+I225+I234+I220</f>
        <v>23406373.229999993</v>
      </c>
      <c r="J216" s="386"/>
    </row>
    <row r="217" spans="1:10" s="14" customFormat="1" ht="59.25" customHeight="1">
      <c r="A217" s="311" t="s">
        <v>489</v>
      </c>
      <c r="B217" s="254" t="s">
        <v>205</v>
      </c>
      <c r="C217" s="254"/>
      <c r="D217" s="254"/>
      <c r="E217" s="254"/>
      <c r="F217" s="254"/>
      <c r="G217" s="255">
        <f>G219+G218</f>
        <v>324200</v>
      </c>
      <c r="H217" s="255">
        <f>H219+H218</f>
        <v>273749</v>
      </c>
      <c r="I217" s="255">
        <f>I219+I218</f>
        <v>50451</v>
      </c>
      <c r="J217" s="386"/>
    </row>
    <row r="218" spans="1:10" s="14" customFormat="1" ht="20.25" customHeight="1">
      <c r="A218" s="443" t="s">
        <v>198</v>
      </c>
      <c r="B218" s="44" t="s">
        <v>205</v>
      </c>
      <c r="C218" s="44" t="s">
        <v>717</v>
      </c>
      <c r="D218" s="44" t="s">
        <v>206</v>
      </c>
      <c r="E218" s="44" t="s">
        <v>70</v>
      </c>
      <c r="F218" s="44" t="s">
        <v>191</v>
      </c>
      <c r="G218" s="87">
        <v>174200</v>
      </c>
      <c r="H218" s="87">
        <v>139000</v>
      </c>
      <c r="I218" s="83">
        <f>G218-H218</f>
        <v>35200</v>
      </c>
      <c r="J218" s="419"/>
    </row>
    <row r="219" spans="1:10" s="14" customFormat="1" ht="20.25" customHeight="1">
      <c r="A219" s="24" t="s">
        <v>563</v>
      </c>
      <c r="B219" s="44" t="s">
        <v>205</v>
      </c>
      <c r="C219" s="44" t="s">
        <v>717</v>
      </c>
      <c r="D219" s="44" t="s">
        <v>206</v>
      </c>
      <c r="E219" s="44" t="s">
        <v>411</v>
      </c>
      <c r="F219" s="44" t="s">
        <v>397</v>
      </c>
      <c r="G219" s="87">
        <v>150000</v>
      </c>
      <c r="H219" s="137">
        <v>134749</v>
      </c>
      <c r="I219" s="83">
        <f>G219-H219</f>
        <v>15251</v>
      </c>
      <c r="J219" s="459"/>
    </row>
    <row r="220" spans="1:10" s="14" customFormat="1" ht="30.75" customHeight="1">
      <c r="A220" s="311" t="s">
        <v>493</v>
      </c>
      <c r="B220" s="36"/>
      <c r="C220" s="36"/>
      <c r="D220" s="36"/>
      <c r="E220" s="36"/>
      <c r="F220" s="36"/>
      <c r="G220" s="154">
        <f>G221+G222+G223+G224</f>
        <v>208216.32</v>
      </c>
      <c r="H220" s="154">
        <f>H221+H222+H223+H224</f>
        <v>208216.32</v>
      </c>
      <c r="I220" s="154">
        <f>I221+I222+I223+I224</f>
        <v>0</v>
      </c>
      <c r="J220" s="237"/>
    </row>
    <row r="221" spans="1:10" s="14" customFormat="1" ht="30.75" customHeight="1">
      <c r="A221" s="187" t="s">
        <v>476</v>
      </c>
      <c r="B221" s="44" t="s">
        <v>205</v>
      </c>
      <c r="C221" s="136" t="s">
        <v>738</v>
      </c>
      <c r="D221" s="136" t="s">
        <v>240</v>
      </c>
      <c r="E221" s="136" t="s">
        <v>388</v>
      </c>
      <c r="F221" s="136" t="s">
        <v>194</v>
      </c>
      <c r="G221" s="137">
        <f>172216.32-7940.19</f>
        <v>164276.13</v>
      </c>
      <c r="H221" s="137">
        <v>164276.13</v>
      </c>
      <c r="I221" s="83">
        <f>G221-H221</f>
        <v>0</v>
      </c>
      <c r="J221" s="237"/>
    </row>
    <row r="222" spans="1:10" s="14" customFormat="1" ht="30.75" customHeight="1">
      <c r="A222" s="187" t="s">
        <v>477</v>
      </c>
      <c r="B222" s="44" t="s">
        <v>205</v>
      </c>
      <c r="C222" s="136" t="s">
        <v>728</v>
      </c>
      <c r="D222" s="136" t="s">
        <v>240</v>
      </c>
      <c r="E222" s="136" t="s">
        <v>388</v>
      </c>
      <c r="F222" s="136" t="s">
        <v>194</v>
      </c>
      <c r="G222" s="137">
        <f>36000-1659.81</f>
        <v>34340.19</v>
      </c>
      <c r="H222" s="137">
        <v>34340.19</v>
      </c>
      <c r="I222" s="83">
        <f>G222-H222</f>
        <v>0</v>
      </c>
      <c r="J222" s="237"/>
    </row>
    <row r="223" spans="1:10" s="14" customFormat="1" ht="30.75" customHeight="1">
      <c r="A223" s="187" t="s">
        <v>808</v>
      </c>
      <c r="B223" s="44" t="s">
        <v>205</v>
      </c>
      <c r="C223" s="136" t="s">
        <v>738</v>
      </c>
      <c r="D223" s="136" t="s">
        <v>206</v>
      </c>
      <c r="E223" s="136" t="s">
        <v>398</v>
      </c>
      <c r="F223" s="136" t="s">
        <v>193</v>
      </c>
      <c r="G223" s="137">
        <v>7940.19</v>
      </c>
      <c r="H223" s="137">
        <v>7940.19</v>
      </c>
      <c r="I223" s="83">
        <f>G223-H223</f>
        <v>0</v>
      </c>
      <c r="J223" s="237"/>
    </row>
    <row r="224" spans="1:10" s="14" customFormat="1" ht="30.75" customHeight="1">
      <c r="A224" s="187" t="s">
        <v>809</v>
      </c>
      <c r="B224" s="44" t="s">
        <v>205</v>
      </c>
      <c r="C224" s="136" t="s">
        <v>728</v>
      </c>
      <c r="D224" s="136" t="s">
        <v>206</v>
      </c>
      <c r="E224" s="136" t="s">
        <v>398</v>
      </c>
      <c r="F224" s="136" t="s">
        <v>193</v>
      </c>
      <c r="G224" s="137">
        <v>1659.81</v>
      </c>
      <c r="H224" s="137">
        <v>1659.81</v>
      </c>
      <c r="I224" s="83">
        <f>G224-H224</f>
        <v>0</v>
      </c>
      <c r="J224" s="237"/>
    </row>
    <row r="225" spans="1:10" s="9" customFormat="1" ht="28.5" customHeight="1">
      <c r="A225" s="329" t="s">
        <v>488</v>
      </c>
      <c r="B225" s="254" t="s">
        <v>205</v>
      </c>
      <c r="C225" s="254"/>
      <c r="D225" s="254"/>
      <c r="E225" s="254"/>
      <c r="F225" s="254"/>
      <c r="G225" s="255">
        <f>G232+G226</f>
        <v>760365.7</v>
      </c>
      <c r="H225" s="255">
        <f>H232+H226</f>
        <v>579733.3200000001</v>
      </c>
      <c r="I225" s="255">
        <f>I232+I226</f>
        <v>180632.38</v>
      </c>
      <c r="J225" s="387"/>
    </row>
    <row r="226" spans="1:10" s="9" customFormat="1" ht="32.25" customHeight="1">
      <c r="A226" s="423" t="s">
        <v>608</v>
      </c>
      <c r="B226" s="424" t="s">
        <v>205</v>
      </c>
      <c r="C226" s="424" t="s">
        <v>564</v>
      </c>
      <c r="D226" s="424" t="s">
        <v>206</v>
      </c>
      <c r="E226" s="424" t="s">
        <v>54</v>
      </c>
      <c r="F226" s="424" t="s">
        <v>188</v>
      </c>
      <c r="G226" s="425">
        <f>G227+G229+G228+G231+G230</f>
        <v>652811.7</v>
      </c>
      <c r="H226" s="425">
        <f>H227+H229+H228+H231+H230</f>
        <v>472373.32</v>
      </c>
      <c r="I226" s="425">
        <f>I227+I229+I228+I231+I230</f>
        <v>180438.38</v>
      </c>
      <c r="J226" s="387"/>
    </row>
    <row r="227" spans="1:10" s="9" customFormat="1" ht="32.25" customHeight="1">
      <c r="A227" s="422" t="s">
        <v>610</v>
      </c>
      <c r="B227" s="42"/>
      <c r="C227" s="42"/>
      <c r="D227" s="42"/>
      <c r="E227" s="42"/>
      <c r="F227" s="42"/>
      <c r="G227" s="268">
        <f>309050+4285-134123.3</f>
        <v>179211.7</v>
      </c>
      <c r="H227" s="268">
        <v>179211.7</v>
      </c>
      <c r="I227" s="82">
        <f aca="true" t="shared" si="9" ref="I227:I232">G227-H227</f>
        <v>0</v>
      </c>
      <c r="J227" s="388"/>
    </row>
    <row r="228" spans="1:10" s="9" customFormat="1" ht="32.25" customHeight="1">
      <c r="A228" s="422" t="s">
        <v>729</v>
      </c>
      <c r="B228" s="42"/>
      <c r="C228" s="42"/>
      <c r="D228" s="42"/>
      <c r="E228" s="42"/>
      <c r="F228" s="42"/>
      <c r="G228" s="268">
        <f>230000-102450</f>
        <v>127550</v>
      </c>
      <c r="H228" s="268">
        <v>127550</v>
      </c>
      <c r="I228" s="82">
        <f t="shared" si="9"/>
        <v>0</v>
      </c>
      <c r="J228" s="388"/>
    </row>
    <row r="229" spans="1:10" s="9" customFormat="1" ht="32.25" customHeight="1">
      <c r="A229" s="422" t="s">
        <v>765</v>
      </c>
      <c r="B229" s="42"/>
      <c r="C229" s="42"/>
      <c r="D229" s="42"/>
      <c r="E229" s="42"/>
      <c r="F229" s="42"/>
      <c r="G229" s="268">
        <f>134123.3+102450+80093.37-229519.92</f>
        <v>87146.74999999997</v>
      </c>
      <c r="H229" s="268">
        <v>87146.75</v>
      </c>
      <c r="I229" s="82">
        <f t="shared" si="9"/>
        <v>0</v>
      </c>
      <c r="J229" s="387"/>
    </row>
    <row r="230" spans="1:10" s="9" customFormat="1" ht="32.25" customHeight="1">
      <c r="A230" s="422" t="s">
        <v>850</v>
      </c>
      <c r="B230" s="42"/>
      <c r="C230" s="445"/>
      <c r="D230" s="42"/>
      <c r="E230" s="42"/>
      <c r="F230" s="42"/>
      <c r="G230" s="268">
        <v>78464.87</v>
      </c>
      <c r="H230" s="268">
        <v>78464.87</v>
      </c>
      <c r="I230" s="82">
        <f t="shared" si="9"/>
        <v>0</v>
      </c>
      <c r="J230" s="387"/>
    </row>
    <row r="231" spans="1:10" s="9" customFormat="1" ht="32.25" customHeight="1">
      <c r="A231" s="422" t="s">
        <v>609</v>
      </c>
      <c r="B231" s="42"/>
      <c r="C231" s="445"/>
      <c r="D231" s="42"/>
      <c r="E231" s="42"/>
      <c r="F231" s="42"/>
      <c r="G231" s="268">
        <f>167876.7-80093.37+229519.92-58400-78464.87</f>
        <v>180438.38</v>
      </c>
      <c r="H231" s="268"/>
      <c r="I231" s="82">
        <f t="shared" si="9"/>
        <v>180438.38</v>
      </c>
      <c r="J231" s="387"/>
    </row>
    <row r="232" spans="1:10" s="9" customFormat="1" ht="28.5" customHeight="1">
      <c r="A232" s="27" t="s">
        <v>298</v>
      </c>
      <c r="B232" s="28" t="s">
        <v>205</v>
      </c>
      <c r="C232" s="426" t="s">
        <v>565</v>
      </c>
      <c r="D232" s="28" t="s">
        <v>206</v>
      </c>
      <c r="E232" s="28" t="s">
        <v>54</v>
      </c>
      <c r="F232" s="28" t="s">
        <v>188</v>
      </c>
      <c r="G232" s="93">
        <f>100000+7554</f>
        <v>107554</v>
      </c>
      <c r="H232" s="71">
        <f>21360+50000+36000</f>
        <v>107360</v>
      </c>
      <c r="I232" s="71">
        <f t="shared" si="9"/>
        <v>194</v>
      </c>
      <c r="J232" s="309"/>
    </row>
    <row r="233" spans="1:10" s="9" customFormat="1" ht="28.5" customHeight="1">
      <c r="A233" s="442"/>
      <c r="B233" s="28"/>
      <c r="C233" s="426"/>
      <c r="D233" s="28"/>
      <c r="E233" s="28"/>
      <c r="F233" s="28"/>
      <c r="G233" s="93"/>
      <c r="H233" s="71"/>
      <c r="I233" s="71"/>
      <c r="J233" s="309"/>
    </row>
    <row r="234" spans="1:10" s="9" customFormat="1" ht="48" customHeight="1">
      <c r="A234" s="311" t="s">
        <v>487</v>
      </c>
      <c r="B234" s="254"/>
      <c r="C234" s="254"/>
      <c r="D234" s="254"/>
      <c r="E234" s="254"/>
      <c r="F234" s="254"/>
      <c r="G234" s="255">
        <f>G235+G238+G246+G258+G262+G242+G252+G256+G255+G265</f>
        <v>37884629.099999994</v>
      </c>
      <c r="H234" s="255">
        <f>H235+H238+H246+H258+H262+H242+H252+H256+H255+H265</f>
        <v>14709339.25</v>
      </c>
      <c r="I234" s="255">
        <f>I235+I238+I246+I258+I262+I242+I252+I256+I255</f>
        <v>23175289.849999994</v>
      </c>
      <c r="J234" s="388"/>
    </row>
    <row r="235" spans="1:10" s="9" customFormat="1" ht="45.75" customHeight="1">
      <c r="A235" s="404" t="s">
        <v>549</v>
      </c>
      <c r="B235" s="28" t="s">
        <v>205</v>
      </c>
      <c r="C235" s="28" t="s">
        <v>566</v>
      </c>
      <c r="D235" s="28" t="s">
        <v>253</v>
      </c>
      <c r="E235" s="28" t="s">
        <v>43</v>
      </c>
      <c r="F235" s="28" t="s">
        <v>521</v>
      </c>
      <c r="G235" s="93">
        <f>G236+G237</f>
        <v>30252977.169999994</v>
      </c>
      <c r="H235" s="93">
        <f>H236+H237</f>
        <v>8063274.01</v>
      </c>
      <c r="I235" s="93">
        <f>I236+I237</f>
        <v>22189703.159999996</v>
      </c>
      <c r="J235" s="309"/>
    </row>
    <row r="236" spans="1:10" s="9" customFormat="1" ht="33" customHeight="1">
      <c r="A236" s="360" t="s">
        <v>803</v>
      </c>
      <c r="B236" s="42"/>
      <c r="C236" s="42"/>
      <c r="D236" s="42"/>
      <c r="E236" s="42"/>
      <c r="F236" s="42"/>
      <c r="G236" s="343">
        <f>10560000-1564801.49</f>
        <v>8995198.51</v>
      </c>
      <c r="H236" s="82">
        <v>8063274.01</v>
      </c>
      <c r="I236" s="343">
        <f>G236-H236</f>
        <v>931924.5</v>
      </c>
      <c r="J236" s="309"/>
    </row>
    <row r="237" spans="1:10" s="9" customFormat="1" ht="33" customHeight="1">
      <c r="A237" s="360" t="s">
        <v>804</v>
      </c>
      <c r="B237" s="42"/>
      <c r="C237" s="42"/>
      <c r="D237" s="42"/>
      <c r="E237" s="463"/>
      <c r="F237" s="42"/>
      <c r="G237" s="268">
        <f>21257778.66-1251185.23-600000-8771315.38-70014-92250+6139920.77+70014+1251185.23+2631394.61+92250+600000-1428736.61+1428736.61</f>
        <v>21257778.659999996</v>
      </c>
      <c r="H237" s="82"/>
      <c r="I237" s="343">
        <f>G237-H237</f>
        <v>21257778.659999996</v>
      </c>
      <c r="J237" s="309"/>
    </row>
    <row r="238" spans="1:10" s="9" customFormat="1" ht="28.5" customHeight="1">
      <c r="A238" s="403" t="s">
        <v>532</v>
      </c>
      <c r="B238" s="28" t="s">
        <v>205</v>
      </c>
      <c r="C238" s="28" t="s">
        <v>566</v>
      </c>
      <c r="D238" s="28" t="s">
        <v>253</v>
      </c>
      <c r="E238" s="28" t="s">
        <v>54</v>
      </c>
      <c r="F238" s="28" t="s">
        <v>362</v>
      </c>
      <c r="G238" s="93">
        <f>G239+G240+G241</f>
        <v>1307800</v>
      </c>
      <c r="H238" s="93">
        <f>H239+H240+H241</f>
        <v>1307799.5999999999</v>
      </c>
      <c r="I238" s="93">
        <f>I239+I240+I241</f>
        <v>0.39999999999417923</v>
      </c>
      <c r="J238" s="388"/>
    </row>
    <row r="239" spans="1:10" s="9" customFormat="1" ht="28.5" customHeight="1">
      <c r="A239" s="357" t="s">
        <v>628</v>
      </c>
      <c r="B239" s="261"/>
      <c r="C239" s="261"/>
      <c r="D239" s="261"/>
      <c r="E239" s="261"/>
      <c r="F239" s="261"/>
      <c r="G239" s="343">
        <f>528000+55849.2</f>
        <v>583849.2</v>
      </c>
      <c r="H239" s="343">
        <f>583849.2</f>
        <v>583849.2</v>
      </c>
      <c r="I239" s="343">
        <f>G239-H239</f>
        <v>0</v>
      </c>
      <c r="J239" s="309"/>
    </row>
    <row r="240" spans="1:10" s="9" customFormat="1" ht="28.5" customHeight="1">
      <c r="A240" s="357" t="s">
        <v>629</v>
      </c>
      <c r="B240" s="261"/>
      <c r="C240" s="261"/>
      <c r="D240" s="261"/>
      <c r="E240" s="261"/>
      <c r="F240" s="261"/>
      <c r="G240" s="343">
        <v>501054</v>
      </c>
      <c r="H240" s="343">
        <v>501054</v>
      </c>
      <c r="I240" s="343">
        <f>G240-H240</f>
        <v>0</v>
      </c>
      <c r="J240" s="309"/>
    </row>
    <row r="241" spans="1:10" s="9" customFormat="1" ht="28.5" customHeight="1">
      <c r="A241" s="357" t="s">
        <v>630</v>
      </c>
      <c r="B241" s="261"/>
      <c r="C241" s="261"/>
      <c r="D241" s="261"/>
      <c r="E241" s="261"/>
      <c r="F241" s="261"/>
      <c r="G241" s="343">
        <v>222896.8</v>
      </c>
      <c r="H241" s="343">
        <f>222896.4</f>
        <v>222896.4</v>
      </c>
      <c r="I241" s="343">
        <f>G241-H241</f>
        <v>0.39999999999417923</v>
      </c>
      <c r="J241" s="309"/>
    </row>
    <row r="242" spans="1:10" s="9" customFormat="1" ht="28.5" customHeight="1">
      <c r="A242" s="403" t="s">
        <v>631</v>
      </c>
      <c r="B242" s="28" t="s">
        <v>205</v>
      </c>
      <c r="C242" s="28" t="s">
        <v>566</v>
      </c>
      <c r="D242" s="28" t="s">
        <v>253</v>
      </c>
      <c r="E242" s="28" t="s">
        <v>54</v>
      </c>
      <c r="F242" s="28" t="s">
        <v>188</v>
      </c>
      <c r="G242" s="293">
        <f>G243+G244+G245</f>
        <v>867180</v>
      </c>
      <c r="H242" s="293">
        <f>H243+H244+H245</f>
        <v>667179.8</v>
      </c>
      <c r="I242" s="293">
        <f>I243+I244+I245</f>
        <v>200000.2</v>
      </c>
      <c r="J242" s="309"/>
    </row>
    <row r="243" spans="1:10" s="9" customFormat="1" ht="28.5" customHeight="1">
      <c r="A243" s="357" t="s">
        <v>632</v>
      </c>
      <c r="B243" s="261"/>
      <c r="C243" s="261"/>
      <c r="D243" s="261"/>
      <c r="E243" s="261"/>
      <c r="F243" s="261"/>
      <c r="G243" s="343">
        <v>285509</v>
      </c>
      <c r="H243" s="343">
        <v>285509</v>
      </c>
      <c r="I243" s="343">
        <f>G243-H243</f>
        <v>0</v>
      </c>
      <c r="J243" s="309"/>
    </row>
    <row r="244" spans="1:10" s="9" customFormat="1" ht="28.5" customHeight="1">
      <c r="A244" s="357" t="s">
        <v>633</v>
      </c>
      <c r="B244" s="261"/>
      <c r="C244" s="261"/>
      <c r="D244" s="261"/>
      <c r="E244" s="261"/>
      <c r="F244" s="261"/>
      <c r="G244" s="343">
        <v>381671</v>
      </c>
      <c r="H244" s="343">
        <v>381670.8</v>
      </c>
      <c r="I244" s="343">
        <f>G244-H244</f>
        <v>0.20000000001164153</v>
      </c>
      <c r="J244" s="309"/>
    </row>
    <row r="245" spans="1:10" s="9" customFormat="1" ht="28.5" customHeight="1">
      <c r="A245" s="357" t="s">
        <v>763</v>
      </c>
      <c r="B245" s="261"/>
      <c r="C245" s="261"/>
      <c r="D245" s="261"/>
      <c r="E245" s="261"/>
      <c r="F245" s="261"/>
      <c r="G245" s="268">
        <v>200000</v>
      </c>
      <c r="H245" s="343"/>
      <c r="I245" s="343">
        <f>G245-H245</f>
        <v>200000</v>
      </c>
      <c r="J245" s="309"/>
    </row>
    <row r="246" spans="1:11" s="9" customFormat="1" ht="28.5" customHeight="1">
      <c r="A246" s="405" t="s">
        <v>533</v>
      </c>
      <c r="B246" s="25" t="s">
        <v>205</v>
      </c>
      <c r="C246" s="25" t="s">
        <v>566</v>
      </c>
      <c r="D246" s="25" t="s">
        <v>206</v>
      </c>
      <c r="E246" s="25" t="s">
        <v>43</v>
      </c>
      <c r="F246" s="25" t="s">
        <v>182</v>
      </c>
      <c r="G246" s="93">
        <f>G247+G248+G249+G250+G251</f>
        <v>2936909.23</v>
      </c>
      <c r="H246" s="87">
        <f>H247+H248+H249+H250+H251</f>
        <v>2936909.23</v>
      </c>
      <c r="I246" s="87">
        <f>I247+I248+I249+I250+I251</f>
        <v>0</v>
      </c>
      <c r="J246" s="388"/>
      <c r="K246" s="282"/>
    </row>
    <row r="247" spans="1:10" s="9" customFormat="1" ht="28.5" customHeight="1">
      <c r="A247" s="342" t="s">
        <v>640</v>
      </c>
      <c r="B247" s="261"/>
      <c r="C247" s="261"/>
      <c r="D247" s="261"/>
      <c r="E247" s="261"/>
      <c r="F247" s="261"/>
      <c r="G247" s="343">
        <v>480073.2</v>
      </c>
      <c r="H247" s="343">
        <v>480073.2</v>
      </c>
      <c r="I247" s="82">
        <f aca="true" t="shared" si="10" ref="I247:I257">G247-H247</f>
        <v>0</v>
      </c>
      <c r="J247" s="309"/>
    </row>
    <row r="248" spans="1:10" s="9" customFormat="1" ht="28.5" customHeight="1">
      <c r="A248" s="342" t="s">
        <v>721</v>
      </c>
      <c r="B248" s="261" t="s">
        <v>663</v>
      </c>
      <c r="C248" s="261"/>
      <c r="D248" s="261"/>
      <c r="E248" s="261"/>
      <c r="F248" s="363"/>
      <c r="G248" s="268">
        <v>130000</v>
      </c>
      <c r="H248" s="343">
        <v>130000</v>
      </c>
      <c r="I248" s="82">
        <f t="shared" si="10"/>
        <v>0</v>
      </c>
      <c r="J248" s="309"/>
    </row>
    <row r="249" spans="1:10" s="9" customFormat="1" ht="28.5" customHeight="1">
      <c r="A249" s="342" t="s">
        <v>688</v>
      </c>
      <c r="B249" s="261"/>
      <c r="C249" s="261"/>
      <c r="D249" s="261"/>
      <c r="E249" s="261"/>
      <c r="F249" s="261"/>
      <c r="G249" s="268">
        <v>526582.8</v>
      </c>
      <c r="H249" s="343">
        <v>526582.8</v>
      </c>
      <c r="I249" s="82">
        <f t="shared" si="10"/>
        <v>0</v>
      </c>
      <c r="J249" s="309"/>
    </row>
    <row r="250" spans="1:10" s="9" customFormat="1" ht="28.5" customHeight="1">
      <c r="A250" s="342" t="s">
        <v>815</v>
      </c>
      <c r="B250" s="261"/>
      <c r="C250" s="261"/>
      <c r="D250" s="261"/>
      <c r="E250" s="261"/>
      <c r="F250" s="261"/>
      <c r="G250" s="268">
        <f>466509.6-130000+212558.4</f>
        <v>549068</v>
      </c>
      <c r="H250" s="343">
        <v>549068</v>
      </c>
      <c r="I250" s="82">
        <f t="shared" si="10"/>
        <v>0</v>
      </c>
      <c r="J250" s="309"/>
    </row>
    <row r="251" spans="1:10" s="9" customFormat="1" ht="28.5" customHeight="1">
      <c r="A251" s="342" t="s">
        <v>824</v>
      </c>
      <c r="B251" s="261"/>
      <c r="C251" s="261"/>
      <c r="D251" s="261"/>
      <c r="E251" s="261"/>
      <c r="F251" s="261"/>
      <c r="G251" s="268">
        <v>1251185.23</v>
      </c>
      <c r="H251" s="343">
        <v>1251185.23</v>
      </c>
      <c r="I251" s="82">
        <f t="shared" si="10"/>
        <v>0</v>
      </c>
      <c r="J251" s="309"/>
    </row>
    <row r="252" spans="1:10" s="9" customFormat="1" ht="28.5" customHeight="1">
      <c r="A252" s="461" t="s">
        <v>822</v>
      </c>
      <c r="B252" s="25" t="s">
        <v>205</v>
      </c>
      <c r="C252" s="25" t="s">
        <v>821</v>
      </c>
      <c r="D252" s="25" t="s">
        <v>206</v>
      </c>
      <c r="E252" s="25" t="s">
        <v>43</v>
      </c>
      <c r="F252" s="25" t="s">
        <v>181</v>
      </c>
      <c r="G252" s="268">
        <f>G253+G254</f>
        <v>60000</v>
      </c>
      <c r="H252" s="268">
        <f>H253+H254</f>
        <v>60000</v>
      </c>
      <c r="I252" s="268">
        <f>I253+I254</f>
        <v>0</v>
      </c>
      <c r="J252" s="309"/>
    </row>
    <row r="253" spans="1:10" s="9" customFormat="1" ht="28.5" customHeight="1">
      <c r="A253" s="462" t="s">
        <v>816</v>
      </c>
      <c r="B253" s="261"/>
      <c r="C253" s="261"/>
      <c r="D253" s="261"/>
      <c r="E253" s="261"/>
      <c r="F253" s="261"/>
      <c r="G253" s="268">
        <v>30000</v>
      </c>
      <c r="H253" s="343">
        <v>30000</v>
      </c>
      <c r="I253" s="82">
        <f t="shared" si="10"/>
        <v>0</v>
      </c>
      <c r="J253" s="309"/>
    </row>
    <row r="254" spans="1:10" s="9" customFormat="1" ht="28.5" customHeight="1">
      <c r="A254" s="342" t="s">
        <v>817</v>
      </c>
      <c r="B254" s="261"/>
      <c r="C254" s="261"/>
      <c r="D254" s="261"/>
      <c r="E254" s="261"/>
      <c r="F254" s="261"/>
      <c r="G254" s="268">
        <v>30000</v>
      </c>
      <c r="H254" s="343">
        <v>30000</v>
      </c>
      <c r="I254" s="82">
        <f t="shared" si="10"/>
        <v>0</v>
      </c>
      <c r="J254" s="309"/>
    </row>
    <row r="255" spans="1:10" s="9" customFormat="1" ht="28.5" customHeight="1">
      <c r="A255" s="342" t="s">
        <v>823</v>
      </c>
      <c r="B255" s="25" t="s">
        <v>205</v>
      </c>
      <c r="C255" s="25" t="s">
        <v>821</v>
      </c>
      <c r="D255" s="25" t="s">
        <v>206</v>
      </c>
      <c r="E255" s="42" t="s">
        <v>54</v>
      </c>
      <c r="F255" s="42" t="s">
        <v>188</v>
      </c>
      <c r="G255" s="268">
        <v>130000</v>
      </c>
      <c r="H255" s="343">
        <v>130000</v>
      </c>
      <c r="I255" s="82">
        <f t="shared" si="10"/>
        <v>0</v>
      </c>
      <c r="J255" s="309"/>
    </row>
    <row r="256" spans="1:10" s="9" customFormat="1" ht="28.5" customHeight="1">
      <c r="A256" s="461" t="s">
        <v>825</v>
      </c>
      <c r="B256" s="25" t="s">
        <v>205</v>
      </c>
      <c r="C256" s="25" t="s">
        <v>566</v>
      </c>
      <c r="D256" s="25" t="s">
        <v>206</v>
      </c>
      <c r="E256" s="25" t="s">
        <v>43</v>
      </c>
      <c r="F256" s="25" t="s">
        <v>181</v>
      </c>
      <c r="G256" s="293">
        <f>G257</f>
        <v>0</v>
      </c>
      <c r="H256" s="464"/>
      <c r="I256" s="82">
        <f t="shared" si="10"/>
        <v>0</v>
      </c>
      <c r="J256" s="309"/>
    </row>
    <row r="257" spans="1:10" s="9" customFormat="1" ht="28.5" customHeight="1">
      <c r="A257" s="342" t="s">
        <v>824</v>
      </c>
      <c r="B257" s="25"/>
      <c r="C257" s="25"/>
      <c r="D257" s="25"/>
      <c r="E257" s="261"/>
      <c r="F257" s="261"/>
      <c r="G257" s="268">
        <f>1251185.23-1251185.23</f>
        <v>0</v>
      </c>
      <c r="H257" s="343"/>
      <c r="I257" s="82">
        <f t="shared" si="10"/>
        <v>0</v>
      </c>
      <c r="J257" s="309"/>
    </row>
    <row r="258" spans="1:11" s="9" customFormat="1" ht="28.5" customHeight="1">
      <c r="A258" s="403" t="s">
        <v>567</v>
      </c>
      <c r="B258" s="25" t="s">
        <v>205</v>
      </c>
      <c r="C258" s="25" t="s">
        <v>566</v>
      </c>
      <c r="D258" s="25" t="s">
        <v>206</v>
      </c>
      <c r="E258" s="25" t="s">
        <v>54</v>
      </c>
      <c r="F258" s="25" t="s">
        <v>362</v>
      </c>
      <c r="G258" s="87">
        <f>G259+G260+G261</f>
        <v>130832</v>
      </c>
      <c r="H258" s="239">
        <f>H259+H260+H261</f>
        <v>115440</v>
      </c>
      <c r="I258" s="83">
        <f>G258-H258</f>
        <v>15392</v>
      </c>
      <c r="J258" s="388"/>
      <c r="K258" s="282"/>
    </row>
    <row r="259" spans="1:11" s="9" customFormat="1" ht="28.5" customHeight="1">
      <c r="A259" s="53" t="s">
        <v>672</v>
      </c>
      <c r="B259" s="261"/>
      <c r="C259" s="261"/>
      <c r="D259" s="261"/>
      <c r="E259" s="261"/>
      <c r="F259" s="261"/>
      <c r="G259" s="268">
        <f>500000-500000</f>
        <v>0</v>
      </c>
      <c r="H259" s="343"/>
      <c r="I259" s="82">
        <f>G259-H259</f>
        <v>0</v>
      </c>
      <c r="J259" s="309"/>
      <c r="K259" s="282"/>
    </row>
    <row r="260" spans="1:10" s="9" customFormat="1" ht="28.5" customHeight="1">
      <c r="A260" s="340" t="s">
        <v>827</v>
      </c>
      <c r="B260" s="261"/>
      <c r="C260" s="261"/>
      <c r="D260" s="261"/>
      <c r="E260" s="261"/>
      <c r="F260" s="261"/>
      <c r="G260" s="268">
        <v>130832</v>
      </c>
      <c r="H260" s="343">
        <v>115440</v>
      </c>
      <c r="I260" s="82">
        <f>G260-H260</f>
        <v>15392</v>
      </c>
      <c r="J260" s="309"/>
    </row>
    <row r="261" spans="1:10" s="9" customFormat="1" ht="28.5" customHeight="1">
      <c r="A261" s="340"/>
      <c r="B261" s="261"/>
      <c r="C261" s="261"/>
      <c r="D261" s="261"/>
      <c r="E261" s="261"/>
      <c r="F261" s="261"/>
      <c r="G261" s="341"/>
      <c r="H261" s="226"/>
      <c r="I261" s="82">
        <f>G261-H261</f>
        <v>0</v>
      </c>
      <c r="J261" s="309"/>
    </row>
    <row r="262" spans="1:10" s="9" customFormat="1" ht="28.5" customHeight="1">
      <c r="A262" s="403" t="s">
        <v>567</v>
      </c>
      <c r="B262" s="25" t="s">
        <v>205</v>
      </c>
      <c r="C262" s="25" t="s">
        <v>566</v>
      </c>
      <c r="D262" s="25" t="s">
        <v>206</v>
      </c>
      <c r="E262" s="25" t="s">
        <v>54</v>
      </c>
      <c r="F262" s="25" t="s">
        <v>188</v>
      </c>
      <c r="G262" s="87">
        <f>G263+G264</f>
        <v>770194.09</v>
      </c>
      <c r="H262" s="87">
        <f>H263+H264</f>
        <v>0</v>
      </c>
      <c r="I262" s="87">
        <f>I263+I264</f>
        <v>770194.09</v>
      </c>
      <c r="J262" s="309"/>
    </row>
    <row r="263" spans="1:10" s="9" customFormat="1" ht="28.5" customHeight="1">
      <c r="A263" s="53" t="s">
        <v>529</v>
      </c>
      <c r="B263" s="25"/>
      <c r="C263" s="25"/>
      <c r="D263" s="25"/>
      <c r="E263" s="25"/>
      <c r="F263" s="25"/>
      <c r="G263" s="268">
        <f>770194.1-0.01</f>
        <v>770194.09</v>
      </c>
      <c r="H263" s="343"/>
      <c r="I263" s="82">
        <f>G263-H263</f>
        <v>770194.09</v>
      </c>
      <c r="J263" s="309"/>
    </row>
    <row r="264" spans="1:10" s="9" customFormat="1" ht="28.5" customHeight="1">
      <c r="A264" s="53"/>
      <c r="B264" s="25"/>
      <c r="C264" s="25"/>
      <c r="D264" s="25"/>
      <c r="E264" s="25"/>
      <c r="F264" s="25"/>
      <c r="G264" s="268">
        <f>1428736.61-1428736.61</f>
        <v>0</v>
      </c>
      <c r="H264" s="343"/>
      <c r="I264" s="82">
        <f>G264-H264</f>
        <v>0</v>
      </c>
      <c r="J264" s="309"/>
    </row>
    <row r="265" spans="1:10" s="9" customFormat="1" ht="28.5" customHeight="1">
      <c r="A265" s="403" t="s">
        <v>873</v>
      </c>
      <c r="B265" s="44" t="s">
        <v>205</v>
      </c>
      <c r="C265" s="44" t="s">
        <v>566</v>
      </c>
      <c r="D265" s="44" t="s">
        <v>206</v>
      </c>
      <c r="E265" s="44" t="s">
        <v>70</v>
      </c>
      <c r="F265" s="44" t="s">
        <v>191</v>
      </c>
      <c r="G265" s="87">
        <v>1428736.61</v>
      </c>
      <c r="H265" s="87">
        <v>1428736.61</v>
      </c>
      <c r="I265" s="87">
        <f>G265-H265</f>
        <v>0</v>
      </c>
      <c r="J265" s="309"/>
    </row>
    <row r="266" spans="1:10" s="9" customFormat="1" ht="28.5" customHeight="1">
      <c r="A266" s="107" t="s">
        <v>230</v>
      </c>
      <c r="B266" s="28" t="s">
        <v>205</v>
      </c>
      <c r="C266" s="28" t="s">
        <v>276</v>
      </c>
      <c r="D266" s="28"/>
      <c r="E266" s="28"/>
      <c r="F266" s="28"/>
      <c r="G266" s="71">
        <f>G267+G269+G276+G294+G297+G312+G296</f>
        <v>23845679.04</v>
      </c>
      <c r="H266" s="71">
        <f>H267+H269+H276+H294+H297+H312+H296</f>
        <v>21284350.670000006</v>
      </c>
      <c r="I266" s="71">
        <f>I267+I269+I276+I294+I297+I312+I296</f>
        <v>2401911.879999998</v>
      </c>
      <c r="J266" s="373"/>
    </row>
    <row r="267" spans="1:10" s="9" customFormat="1" ht="28.5" customHeight="1">
      <c r="A267" s="312" t="s">
        <v>414</v>
      </c>
      <c r="B267" s="259" t="s">
        <v>205</v>
      </c>
      <c r="C267" s="259" t="s">
        <v>387</v>
      </c>
      <c r="D267" s="259" t="s">
        <v>206</v>
      </c>
      <c r="E267" s="259" t="s">
        <v>28</v>
      </c>
      <c r="F267" s="259"/>
      <c r="G267" s="313">
        <f>G268</f>
        <v>76175</v>
      </c>
      <c r="H267" s="313">
        <f>H268</f>
        <v>70725</v>
      </c>
      <c r="I267" s="313">
        <f>I268</f>
        <v>5450</v>
      </c>
      <c r="J267" s="373"/>
    </row>
    <row r="268" spans="1:10" s="9" customFormat="1" ht="28.5" customHeight="1">
      <c r="A268" s="24" t="s">
        <v>27</v>
      </c>
      <c r="B268" s="25" t="s">
        <v>205</v>
      </c>
      <c r="C268" s="25" t="s">
        <v>387</v>
      </c>
      <c r="D268" s="25" t="s">
        <v>206</v>
      </c>
      <c r="E268" s="25" t="s">
        <v>28</v>
      </c>
      <c r="F268" s="25" t="s">
        <v>177</v>
      </c>
      <c r="G268" s="87">
        <f>40300+15375+15375+5125</f>
        <v>76175</v>
      </c>
      <c r="H268" s="83">
        <v>70725</v>
      </c>
      <c r="I268" s="83">
        <f>G268-H268</f>
        <v>5450</v>
      </c>
      <c r="J268" s="373"/>
    </row>
    <row r="269" spans="1:10" s="9" customFormat="1" ht="28.5" customHeight="1">
      <c r="A269" s="182" t="s">
        <v>302</v>
      </c>
      <c r="B269" s="160" t="s">
        <v>205</v>
      </c>
      <c r="C269" s="160" t="s">
        <v>300</v>
      </c>
      <c r="D269" s="160" t="s">
        <v>206</v>
      </c>
      <c r="E269" s="160" t="s">
        <v>33</v>
      </c>
      <c r="F269" s="160"/>
      <c r="G269" s="161">
        <f>G270+G271+G272+G274+G275+G273</f>
        <v>19269584.729999997</v>
      </c>
      <c r="H269" s="161">
        <f>H270+H271+H272+H274+H275+H273</f>
        <v>17129312.67</v>
      </c>
      <c r="I269" s="161">
        <f>I270+I271+I272+I274+I275+I273</f>
        <v>2140272.0599999977</v>
      </c>
      <c r="J269" s="373"/>
    </row>
    <row r="270" spans="1:13" s="9" customFormat="1" ht="28.5" customHeight="1">
      <c r="A270" s="41" t="s">
        <v>169</v>
      </c>
      <c r="B270" s="25" t="s">
        <v>205</v>
      </c>
      <c r="C270" s="25" t="s">
        <v>300</v>
      </c>
      <c r="D270" s="25" t="s">
        <v>466</v>
      </c>
      <c r="E270" s="25" t="s">
        <v>33</v>
      </c>
      <c r="F270" s="25" t="s">
        <v>207</v>
      </c>
      <c r="G270" s="87">
        <f>14445906.03-527841+332000+400000-205000-190500-200000-174710-55845-2575.5-72437.8</f>
        <v>13748996.729999999</v>
      </c>
      <c r="H270" s="83">
        <v>13620073.22</v>
      </c>
      <c r="I270" s="71">
        <f aca="true" t="shared" si="11" ref="I270:I275">G270-H270</f>
        <v>128923.50999999791</v>
      </c>
      <c r="J270" s="309"/>
      <c r="K270" s="305"/>
      <c r="L270" s="305"/>
      <c r="M270" s="8"/>
    </row>
    <row r="271" spans="1:10" s="9" customFormat="1" ht="28.5" customHeight="1">
      <c r="A271" s="41" t="s">
        <v>170</v>
      </c>
      <c r="B271" s="25" t="s">
        <v>205</v>
      </c>
      <c r="C271" s="25" t="s">
        <v>300</v>
      </c>
      <c r="D271" s="25" t="s">
        <v>466</v>
      </c>
      <c r="E271" s="25" t="s">
        <v>33</v>
      </c>
      <c r="F271" s="25" t="s">
        <v>178</v>
      </c>
      <c r="G271" s="87">
        <f>3193704-260000</f>
        <v>2933704</v>
      </c>
      <c r="H271" s="83">
        <v>2124282.2</v>
      </c>
      <c r="I271" s="83">
        <f t="shared" si="11"/>
        <v>809421.7999999998</v>
      </c>
      <c r="J271" s="247"/>
    </row>
    <row r="272" spans="1:12" s="9" customFormat="1" ht="28.5" customHeight="1">
      <c r="A272" s="41" t="s">
        <v>524</v>
      </c>
      <c r="B272" s="25" t="s">
        <v>205</v>
      </c>
      <c r="C272" s="25" t="s">
        <v>300</v>
      </c>
      <c r="D272" s="25" t="s">
        <v>206</v>
      </c>
      <c r="E272" s="25" t="s">
        <v>33</v>
      </c>
      <c r="F272" s="25" t="s">
        <v>179</v>
      </c>
      <c r="G272" s="87">
        <f>518031+122251+15000</f>
        <v>655282</v>
      </c>
      <c r="H272" s="83">
        <v>386200.34</v>
      </c>
      <c r="I272" s="447">
        <f t="shared" si="11"/>
        <v>269081.66</v>
      </c>
      <c r="J272" s="247"/>
      <c r="K272" s="230"/>
      <c r="L272" s="230"/>
    </row>
    <row r="273" spans="1:12" s="9" customFormat="1" ht="28.5" customHeight="1">
      <c r="A273" s="41" t="s">
        <v>525</v>
      </c>
      <c r="B273" s="25" t="s">
        <v>205</v>
      </c>
      <c r="C273" s="25" t="s">
        <v>300</v>
      </c>
      <c r="D273" s="25" t="s">
        <v>466</v>
      </c>
      <c r="E273" s="25" t="s">
        <v>33</v>
      </c>
      <c r="F273" s="25" t="s">
        <v>179</v>
      </c>
      <c r="G273" s="87">
        <f>1084877-90000+66513+15000</f>
        <v>1076390</v>
      </c>
      <c r="H273" s="83">
        <v>556724.08</v>
      </c>
      <c r="I273" s="447">
        <f t="shared" si="11"/>
        <v>519665.92000000004</v>
      </c>
      <c r="J273" s="247"/>
      <c r="K273" s="230"/>
      <c r="L273" s="230"/>
    </row>
    <row r="274" spans="1:12" s="9" customFormat="1" ht="28.5" customHeight="1">
      <c r="A274" s="41" t="s">
        <v>171</v>
      </c>
      <c r="B274" s="25" t="s">
        <v>205</v>
      </c>
      <c r="C274" s="25" t="s">
        <v>300</v>
      </c>
      <c r="D274" s="25" t="s">
        <v>206</v>
      </c>
      <c r="E274" s="25" t="s">
        <v>33</v>
      </c>
      <c r="F274" s="25" t="s">
        <v>180</v>
      </c>
      <c r="G274" s="87">
        <f>747596-150000+40388+205000+10000</f>
        <v>852984</v>
      </c>
      <c r="H274" s="83">
        <v>442032.83</v>
      </c>
      <c r="I274" s="83">
        <f t="shared" si="11"/>
        <v>410951.17</v>
      </c>
      <c r="J274" s="371"/>
      <c r="K274" s="230"/>
      <c r="L274" s="230"/>
    </row>
    <row r="275" spans="1:12" s="9" customFormat="1" ht="28.5" customHeight="1">
      <c r="A275" s="39" t="s">
        <v>841</v>
      </c>
      <c r="B275" s="25" t="s">
        <v>205</v>
      </c>
      <c r="C275" s="25" t="s">
        <v>300</v>
      </c>
      <c r="D275" s="25" t="s">
        <v>206</v>
      </c>
      <c r="E275" s="25" t="s">
        <v>33</v>
      </c>
      <c r="F275" s="25" t="s">
        <v>417</v>
      </c>
      <c r="G275" s="87">
        <v>2228</v>
      </c>
      <c r="H275" s="83">
        <v>0</v>
      </c>
      <c r="I275" s="83">
        <f t="shared" si="11"/>
        <v>2228</v>
      </c>
      <c r="J275" s="389"/>
      <c r="K275" s="230"/>
      <c r="L275" s="230"/>
    </row>
    <row r="276" spans="1:10" s="9" customFormat="1" ht="28.5" customHeight="1">
      <c r="A276" s="158" t="s">
        <v>301</v>
      </c>
      <c r="B276" s="160" t="s">
        <v>205</v>
      </c>
      <c r="C276" s="160" t="s">
        <v>300</v>
      </c>
      <c r="D276" s="160" t="s">
        <v>206</v>
      </c>
      <c r="E276" s="160" t="s">
        <v>43</v>
      </c>
      <c r="F276" s="160"/>
      <c r="G276" s="262">
        <f>G277+G281</f>
        <v>3026659.17</v>
      </c>
      <c r="H276" s="262">
        <f>H277+H281</f>
        <v>2844884.66</v>
      </c>
      <c r="I276" s="262">
        <f>I277+I281</f>
        <v>22358.019999999975</v>
      </c>
      <c r="J276" s="373"/>
    </row>
    <row r="277" spans="1:10" s="9" customFormat="1" ht="64.5" customHeight="1">
      <c r="A277" s="45" t="s">
        <v>458</v>
      </c>
      <c r="B277" s="36" t="s">
        <v>205</v>
      </c>
      <c r="C277" s="36" t="s">
        <v>300</v>
      </c>
      <c r="D277" s="36" t="s">
        <v>206</v>
      </c>
      <c r="E277" s="36" t="s">
        <v>43</v>
      </c>
      <c r="F277" s="36" t="s">
        <v>181</v>
      </c>
      <c r="G277" s="93">
        <f>G278+G279+G280</f>
        <v>1552121.29</v>
      </c>
      <c r="H277" s="93">
        <v>1459939.87</v>
      </c>
      <c r="I277" s="93">
        <f>I278+I279+I280</f>
        <v>939.6599999999744</v>
      </c>
      <c r="J277" s="388"/>
    </row>
    <row r="278" spans="1:10" s="9" customFormat="1" ht="28.5" customHeight="1" hidden="1">
      <c r="A278" s="48" t="s">
        <v>459</v>
      </c>
      <c r="B278" s="46"/>
      <c r="C278" s="46"/>
      <c r="D278" s="46"/>
      <c r="E278" s="46"/>
      <c r="F278" s="46"/>
      <c r="G278" s="268">
        <f>1407640-100000</f>
        <v>1307640</v>
      </c>
      <c r="H278" s="268">
        <f>1307639.52</f>
        <v>1307639.52</v>
      </c>
      <c r="I278" s="293">
        <f>G278-H278</f>
        <v>0.47999999998137355</v>
      </c>
      <c r="J278" s="309"/>
    </row>
    <row r="279" spans="1:10" s="9" customFormat="1" ht="28.5" customHeight="1" hidden="1">
      <c r="A279" s="48" t="s">
        <v>221</v>
      </c>
      <c r="B279" s="46"/>
      <c r="C279" s="46"/>
      <c r="D279" s="46"/>
      <c r="E279" s="46"/>
      <c r="F279" s="46"/>
      <c r="G279" s="268">
        <f>100000+98500+19710+10000</f>
        <v>228210</v>
      </c>
      <c r="H279" s="268">
        <f>44092.84+28654.77+3565.82+11845.72+442.93+17649.86+111955.5+9063.38</f>
        <v>227270.82</v>
      </c>
      <c r="I279" s="293">
        <f>G279-H279</f>
        <v>939.179999999993</v>
      </c>
      <c r="J279" s="309"/>
    </row>
    <row r="280" spans="1:10" s="9" customFormat="1" ht="28.5" customHeight="1" hidden="1">
      <c r="A280" s="48" t="s">
        <v>663</v>
      </c>
      <c r="B280" s="46"/>
      <c r="C280" s="46"/>
      <c r="D280" s="46"/>
      <c r="E280" s="46"/>
      <c r="F280" s="46"/>
      <c r="G280" s="268">
        <v>16271.29</v>
      </c>
      <c r="H280" s="268">
        <v>16271.29</v>
      </c>
      <c r="I280" s="293">
        <f>G280-H280</f>
        <v>0</v>
      </c>
      <c r="J280" s="309"/>
    </row>
    <row r="281" spans="1:11" s="9" customFormat="1" ht="28.5" customHeight="1">
      <c r="A281" s="104" t="s">
        <v>214</v>
      </c>
      <c r="B281" s="36" t="s">
        <v>205</v>
      </c>
      <c r="C281" s="36" t="s">
        <v>300</v>
      </c>
      <c r="D281" s="36" t="s">
        <v>206</v>
      </c>
      <c r="E281" s="36" t="s">
        <v>43</v>
      </c>
      <c r="F281" s="36" t="s">
        <v>184</v>
      </c>
      <c r="G281" s="93">
        <f>G282+G286+G288+G290+G285+G292+G291+G293</f>
        <v>1474537.8800000001</v>
      </c>
      <c r="H281" s="93">
        <v>1384944.79</v>
      </c>
      <c r="I281" s="93">
        <f>I282+I286+I288+I290+I285+I292+I291+I293</f>
        <v>21418.36</v>
      </c>
      <c r="J281" s="374"/>
      <c r="K281" s="296"/>
    </row>
    <row r="282" spans="1:10" s="9" customFormat="1" ht="28.5" customHeight="1" hidden="1">
      <c r="A282" s="294" t="s">
        <v>662</v>
      </c>
      <c r="B282" s="46"/>
      <c r="C282" s="46"/>
      <c r="D282" s="46"/>
      <c r="E282" s="46"/>
      <c r="F282" s="46"/>
      <c r="G282" s="87">
        <f>200000-83434.13</f>
        <v>116565.87</v>
      </c>
      <c r="H282" s="87">
        <f>116565.87</f>
        <v>116565.87</v>
      </c>
      <c r="I282" s="87">
        <f>G282-H282</f>
        <v>0</v>
      </c>
      <c r="J282" s="373"/>
    </row>
    <row r="283" spans="1:10" s="9" customFormat="1" ht="28.5" customHeight="1" hidden="1">
      <c r="A283" s="53" t="s">
        <v>219</v>
      </c>
      <c r="B283" s="42"/>
      <c r="C283" s="42"/>
      <c r="D283" s="42"/>
      <c r="E283" s="42"/>
      <c r="F283" s="42"/>
      <c r="G283" s="83"/>
      <c r="H283" s="83"/>
      <c r="I283" s="239">
        <f aca="true" t="shared" si="12" ref="I283:I293">G283-H283</f>
        <v>0</v>
      </c>
      <c r="J283" s="373"/>
    </row>
    <row r="284" spans="1:10" s="9" customFormat="1" ht="28.5" customHeight="1" hidden="1">
      <c r="A284" s="53" t="s">
        <v>220</v>
      </c>
      <c r="B284" s="42"/>
      <c r="C284" s="42"/>
      <c r="D284" s="42"/>
      <c r="E284" s="42"/>
      <c r="F284" s="42"/>
      <c r="G284" s="83"/>
      <c r="H284" s="83"/>
      <c r="I284" s="239">
        <f t="shared" si="12"/>
        <v>0</v>
      </c>
      <c r="J284" s="373"/>
    </row>
    <row r="285" spans="1:10" s="9" customFormat="1" ht="28.5" customHeight="1" hidden="1">
      <c r="A285" s="53" t="s">
        <v>639</v>
      </c>
      <c r="B285" s="42"/>
      <c r="C285" s="42"/>
      <c r="D285" s="42"/>
      <c r="E285" s="42"/>
      <c r="F285" s="42"/>
      <c r="G285" s="83">
        <v>556955.87</v>
      </c>
      <c r="H285" s="83">
        <v>556955.87</v>
      </c>
      <c r="I285" s="239"/>
      <c r="J285" s="373"/>
    </row>
    <row r="286" spans="1:10" s="9" customFormat="1" ht="28.5" customHeight="1" hidden="1">
      <c r="A286" s="53" t="s">
        <v>689</v>
      </c>
      <c r="B286" s="42"/>
      <c r="C286" s="42"/>
      <c r="D286" s="42"/>
      <c r="E286" s="42"/>
      <c r="F286" s="42"/>
      <c r="G286" s="83">
        <f>200000+375956.83-100000-318245.46+26822.13+30059.91</f>
        <v>214593.41000000006</v>
      </c>
      <c r="H286" s="83">
        <f>72682.17+47234.27+5878.23+31916.7+26822.13+1054.33+29005.58+14938.67</f>
        <v>229532.08</v>
      </c>
      <c r="I286" s="239">
        <f t="shared" si="12"/>
        <v>-14938.669999999925</v>
      </c>
      <c r="J286" s="373"/>
    </row>
    <row r="287" spans="1:10" s="9" customFormat="1" ht="28.5" customHeight="1" hidden="1">
      <c r="A287" s="53" t="s">
        <v>269</v>
      </c>
      <c r="B287" s="42"/>
      <c r="C287" s="42"/>
      <c r="D287" s="42"/>
      <c r="E287" s="42"/>
      <c r="F287" s="42"/>
      <c r="G287" s="83">
        <v>0</v>
      </c>
      <c r="H287" s="83"/>
      <c r="I287" s="239">
        <f t="shared" si="12"/>
        <v>0</v>
      </c>
      <c r="J287" s="373"/>
    </row>
    <row r="288" spans="1:10" s="9" customFormat="1" ht="28.5" customHeight="1" hidden="1">
      <c r="A288" s="53" t="s">
        <v>352</v>
      </c>
      <c r="B288" s="42"/>
      <c r="C288" s="42"/>
      <c r="D288" s="42"/>
      <c r="E288" s="42"/>
      <c r="F288" s="42"/>
      <c r="G288" s="83">
        <f>8456.8+100000-47380</f>
        <v>61076.8</v>
      </c>
      <c r="H288" s="83">
        <f>8456.8+51133.83</f>
        <v>59590.630000000005</v>
      </c>
      <c r="I288" s="239">
        <f t="shared" si="12"/>
        <v>1486.1699999999983</v>
      </c>
      <c r="J288" s="309"/>
    </row>
    <row r="289" spans="1:10" s="9" customFormat="1" ht="28.5" customHeight="1" hidden="1">
      <c r="A289" s="53" t="s">
        <v>266</v>
      </c>
      <c r="B289" s="25" t="s">
        <v>205</v>
      </c>
      <c r="C289" s="25" t="s">
        <v>228</v>
      </c>
      <c r="D289" s="25" t="s">
        <v>206</v>
      </c>
      <c r="E289" s="25" t="s">
        <v>54</v>
      </c>
      <c r="F289" s="25" t="s">
        <v>267</v>
      </c>
      <c r="G289" s="83"/>
      <c r="H289" s="83"/>
      <c r="I289" s="239">
        <f t="shared" si="12"/>
        <v>0</v>
      </c>
      <c r="J289" s="373"/>
    </row>
    <row r="290" spans="1:10" s="9" customFormat="1" ht="28.5" customHeight="1" hidden="1">
      <c r="A290" s="294" t="s">
        <v>520</v>
      </c>
      <c r="B290" s="25"/>
      <c r="C290" s="25"/>
      <c r="D290" s="25"/>
      <c r="E290" s="25"/>
      <c r="F290" s="25"/>
      <c r="G290" s="83">
        <f>192191-159472.41-10000</f>
        <v>22718.589999999997</v>
      </c>
      <c r="H290" s="83"/>
      <c r="I290" s="239">
        <f t="shared" si="12"/>
        <v>22718.589999999997</v>
      </c>
      <c r="J290" s="309"/>
    </row>
    <row r="291" spans="1:10" s="9" customFormat="1" ht="28.5" customHeight="1" hidden="1">
      <c r="A291" s="294" t="s">
        <v>687</v>
      </c>
      <c r="B291" s="25"/>
      <c r="C291" s="25"/>
      <c r="D291" s="25"/>
      <c r="E291" s="25"/>
      <c r="F291" s="25"/>
      <c r="G291" s="83">
        <v>6408.35</v>
      </c>
      <c r="H291" s="83">
        <v>6408.35</v>
      </c>
      <c r="I291" s="239">
        <f t="shared" si="12"/>
        <v>0</v>
      </c>
      <c r="J291" s="309"/>
    </row>
    <row r="292" spans="1:10" s="9" customFormat="1" ht="28.5" customHeight="1" hidden="1">
      <c r="A292" s="294" t="s">
        <v>700</v>
      </c>
      <c r="B292" s="25"/>
      <c r="C292" s="25"/>
      <c r="D292" s="25"/>
      <c r="E292" s="25"/>
      <c r="F292" s="25"/>
      <c r="G292" s="83">
        <f>434623.59-7801.46-26822.13-64820.02+1393.11-100000-30059.91-77700-16530+155000</f>
        <v>267283.17999999993</v>
      </c>
      <c r="H292" s="83">
        <v>255130.91</v>
      </c>
      <c r="I292" s="239">
        <f t="shared" si="12"/>
        <v>12152.269999999931</v>
      </c>
      <c r="J292" s="309"/>
    </row>
    <row r="293" spans="1:10" s="9" customFormat="1" ht="28.5" customHeight="1" hidden="1">
      <c r="A293" s="294" t="s">
        <v>851</v>
      </c>
      <c r="B293" s="25"/>
      <c r="C293" s="25"/>
      <c r="D293" s="25"/>
      <c r="E293" s="25"/>
      <c r="F293" s="25"/>
      <c r="G293" s="83">
        <v>228935.81</v>
      </c>
      <c r="H293" s="83">
        <v>228935.81</v>
      </c>
      <c r="I293" s="239">
        <f t="shared" si="12"/>
        <v>0</v>
      </c>
      <c r="J293" s="309"/>
    </row>
    <row r="294" spans="1:23" s="9" customFormat="1" ht="28.5" customHeight="1">
      <c r="A294" s="158" t="s">
        <v>53</v>
      </c>
      <c r="B294" s="160" t="s">
        <v>205</v>
      </c>
      <c r="C294" s="160" t="s">
        <v>300</v>
      </c>
      <c r="D294" s="160" t="s">
        <v>206</v>
      </c>
      <c r="E294" s="160" t="s">
        <v>54</v>
      </c>
      <c r="F294" s="160"/>
      <c r="G294" s="161">
        <f>G295</f>
        <v>125824.12</v>
      </c>
      <c r="H294" s="161">
        <f>H295</f>
        <v>125725.44</v>
      </c>
      <c r="I294" s="161">
        <f>I295</f>
        <v>98.67999999999302</v>
      </c>
      <c r="J294" s="247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</row>
    <row r="295" spans="1:23" s="9" customFormat="1" ht="28.5" customHeight="1">
      <c r="A295" s="29" t="s">
        <v>490</v>
      </c>
      <c r="B295" s="25" t="s">
        <v>205</v>
      </c>
      <c r="C295" s="25" t="s">
        <v>300</v>
      </c>
      <c r="D295" s="25" t="s">
        <v>206</v>
      </c>
      <c r="E295" s="25" t="s">
        <v>54</v>
      </c>
      <c r="F295" s="25" t="s">
        <v>267</v>
      </c>
      <c r="G295" s="83">
        <f>135824.12-10000</f>
        <v>125824.12</v>
      </c>
      <c r="H295" s="83">
        <v>125725.44</v>
      </c>
      <c r="I295" s="83">
        <f>G295-H295</f>
        <v>98.67999999999302</v>
      </c>
      <c r="J295" s="247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</row>
    <row r="296" spans="1:23" s="9" customFormat="1" ht="28.5" customHeight="1">
      <c r="A296" s="29" t="s">
        <v>53</v>
      </c>
      <c r="B296" s="25" t="s">
        <v>205</v>
      </c>
      <c r="C296" s="25" t="s">
        <v>300</v>
      </c>
      <c r="D296" s="25" t="s">
        <v>206</v>
      </c>
      <c r="E296" s="25" t="s">
        <v>54</v>
      </c>
      <c r="F296" s="25" t="s">
        <v>188</v>
      </c>
      <c r="G296" s="83">
        <v>26530</v>
      </c>
      <c r="H296" s="83">
        <v>26529.8</v>
      </c>
      <c r="I296" s="83">
        <f>G296-H296</f>
        <v>0.2000000000007276</v>
      </c>
      <c r="J296" s="247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</row>
    <row r="297" spans="1:10" s="9" customFormat="1" ht="28.5" customHeight="1">
      <c r="A297" s="314" t="s">
        <v>303</v>
      </c>
      <c r="B297" s="264" t="s">
        <v>205</v>
      </c>
      <c r="C297" s="264"/>
      <c r="D297" s="264" t="s">
        <v>304</v>
      </c>
      <c r="E297" s="264"/>
      <c r="F297" s="264"/>
      <c r="G297" s="313">
        <f>G298+G301+G304+G327</f>
        <v>427056.02</v>
      </c>
      <c r="H297" s="313">
        <f>H298+H301+H304+H327</f>
        <v>418742.6</v>
      </c>
      <c r="I297" s="313">
        <f>I298+I301+I304+I327</f>
        <v>8313.419999999998</v>
      </c>
      <c r="J297" s="373"/>
    </row>
    <row r="298" spans="1:10" s="9" customFormat="1" ht="28.5" customHeight="1">
      <c r="A298" s="27" t="s">
        <v>305</v>
      </c>
      <c r="B298" s="28" t="s">
        <v>205</v>
      </c>
      <c r="C298" s="28" t="s">
        <v>300</v>
      </c>
      <c r="D298" s="28" t="s">
        <v>225</v>
      </c>
      <c r="E298" s="28"/>
      <c r="F298" s="28"/>
      <c r="G298" s="71">
        <f aca="true" t="shared" si="13" ref="G298:I299">G299</f>
        <v>0</v>
      </c>
      <c r="H298" s="71">
        <f t="shared" si="13"/>
        <v>0</v>
      </c>
      <c r="I298" s="71">
        <f t="shared" si="13"/>
        <v>0</v>
      </c>
      <c r="J298" s="373"/>
    </row>
    <row r="299" spans="1:10" s="9" customFormat="1" ht="28.5" customHeight="1">
      <c r="A299" s="29" t="s">
        <v>306</v>
      </c>
      <c r="B299" s="25" t="s">
        <v>205</v>
      </c>
      <c r="C299" s="25" t="s">
        <v>300</v>
      </c>
      <c r="D299" s="25" t="s">
        <v>225</v>
      </c>
      <c r="E299" s="25" t="s">
        <v>389</v>
      </c>
      <c r="F299" s="25"/>
      <c r="G299" s="83">
        <f t="shared" si="13"/>
        <v>0</v>
      </c>
      <c r="H299" s="83">
        <f t="shared" si="13"/>
        <v>0</v>
      </c>
      <c r="I299" s="83">
        <f t="shared" si="13"/>
        <v>0</v>
      </c>
      <c r="J299" s="373"/>
    </row>
    <row r="300" spans="1:10" s="9" customFormat="1" ht="28.5" customHeight="1">
      <c r="A300" s="29" t="s">
        <v>307</v>
      </c>
      <c r="B300" s="25" t="s">
        <v>205</v>
      </c>
      <c r="C300" s="25" t="s">
        <v>300</v>
      </c>
      <c r="D300" s="25" t="s">
        <v>225</v>
      </c>
      <c r="E300" s="25" t="s">
        <v>389</v>
      </c>
      <c r="F300" s="25" t="s">
        <v>189</v>
      </c>
      <c r="G300" s="87">
        <v>0</v>
      </c>
      <c r="H300" s="83">
        <v>0</v>
      </c>
      <c r="I300" s="87">
        <f>G300-H300</f>
        <v>0</v>
      </c>
      <c r="J300" s="373"/>
    </row>
    <row r="301" spans="1:12" s="9" customFormat="1" ht="28.5" customHeight="1">
      <c r="A301" s="27" t="s">
        <v>308</v>
      </c>
      <c r="B301" s="28" t="s">
        <v>205</v>
      </c>
      <c r="C301" s="28" t="s">
        <v>300</v>
      </c>
      <c r="D301" s="28" t="s">
        <v>208</v>
      </c>
      <c r="E301" s="28"/>
      <c r="F301" s="28"/>
      <c r="G301" s="93">
        <f aca="true" t="shared" si="14" ref="G301:I302">G302</f>
        <v>44164</v>
      </c>
      <c r="H301" s="71">
        <f t="shared" si="14"/>
        <v>41248.5</v>
      </c>
      <c r="I301" s="71">
        <f t="shared" si="14"/>
        <v>2915.5</v>
      </c>
      <c r="J301" s="237"/>
      <c r="K301" s="5"/>
      <c r="L301" s="5"/>
    </row>
    <row r="302" spans="1:10" s="9" customFormat="1" ht="28.5" customHeight="1">
      <c r="A302" s="29" t="s">
        <v>306</v>
      </c>
      <c r="B302" s="25" t="s">
        <v>205</v>
      </c>
      <c r="C302" s="25" t="s">
        <v>300</v>
      </c>
      <c r="D302" s="25" t="s">
        <v>208</v>
      </c>
      <c r="E302" s="25" t="s">
        <v>389</v>
      </c>
      <c r="F302" s="25"/>
      <c r="G302" s="87">
        <f t="shared" si="14"/>
        <v>44164</v>
      </c>
      <c r="H302" s="83">
        <f t="shared" si="14"/>
        <v>41248.5</v>
      </c>
      <c r="I302" s="83">
        <f t="shared" si="14"/>
        <v>2915.5</v>
      </c>
      <c r="J302" s="373"/>
    </row>
    <row r="303" spans="1:10" s="8" customFormat="1" ht="28.5" customHeight="1">
      <c r="A303" s="29" t="s">
        <v>309</v>
      </c>
      <c r="B303" s="25" t="s">
        <v>205</v>
      </c>
      <c r="C303" s="25" t="s">
        <v>300</v>
      </c>
      <c r="D303" s="25" t="s">
        <v>208</v>
      </c>
      <c r="E303" s="25" t="s">
        <v>389</v>
      </c>
      <c r="F303" s="25" t="s">
        <v>189</v>
      </c>
      <c r="G303" s="87">
        <f>5831+38333</f>
        <v>44164</v>
      </c>
      <c r="H303" s="87">
        <v>41248.5</v>
      </c>
      <c r="I303" s="87">
        <f>G303-H303</f>
        <v>2915.5</v>
      </c>
      <c r="J303" s="373"/>
    </row>
    <row r="304" spans="1:10" s="8" customFormat="1" ht="28.5" customHeight="1">
      <c r="A304" s="29" t="s">
        <v>65</v>
      </c>
      <c r="B304" s="28" t="s">
        <v>205</v>
      </c>
      <c r="C304" s="28" t="s">
        <v>300</v>
      </c>
      <c r="D304" s="28" t="s">
        <v>304</v>
      </c>
      <c r="E304" s="28"/>
      <c r="F304" s="28"/>
      <c r="G304" s="93">
        <f>G306+G308+G310+G305+G309+G307+G311</f>
        <v>338392.02</v>
      </c>
      <c r="H304" s="93">
        <f>H306+H308+H310+H305+H309+H307+H311</f>
        <v>334294.01</v>
      </c>
      <c r="I304" s="93">
        <f>I306+I308+I310+I305+I309+I307+I311</f>
        <v>4098.009999999995</v>
      </c>
      <c r="J304" s="373"/>
    </row>
    <row r="305" spans="1:10" s="8" customFormat="1" ht="28.5" customHeight="1">
      <c r="A305" s="29"/>
      <c r="B305" s="25" t="s">
        <v>205</v>
      </c>
      <c r="C305" s="25" t="s">
        <v>357</v>
      </c>
      <c r="D305" s="25" t="s">
        <v>225</v>
      </c>
      <c r="E305" s="25" t="s">
        <v>389</v>
      </c>
      <c r="F305" s="25" t="s">
        <v>189</v>
      </c>
      <c r="G305" s="87">
        <v>4000</v>
      </c>
      <c r="H305" s="93"/>
      <c r="I305" s="87">
        <f aca="true" t="shared" si="15" ref="I305:I311">G305-H305</f>
        <v>4000</v>
      </c>
      <c r="J305" s="373"/>
    </row>
    <row r="306" spans="1:10" s="8" customFormat="1" ht="28.5" customHeight="1">
      <c r="A306" s="29" t="s">
        <v>374</v>
      </c>
      <c r="B306" s="25" t="s">
        <v>205</v>
      </c>
      <c r="C306" s="25" t="s">
        <v>357</v>
      </c>
      <c r="D306" s="25" t="s">
        <v>358</v>
      </c>
      <c r="E306" s="25" t="s">
        <v>391</v>
      </c>
      <c r="F306" s="25" t="s">
        <v>194</v>
      </c>
      <c r="G306" s="87"/>
      <c r="H306" s="87"/>
      <c r="I306" s="87">
        <f t="shared" si="15"/>
        <v>0</v>
      </c>
      <c r="J306" s="309"/>
    </row>
    <row r="307" spans="1:10" s="8" customFormat="1" ht="28.5" customHeight="1">
      <c r="A307" s="29"/>
      <c r="B307" s="25" t="s">
        <v>205</v>
      </c>
      <c r="C307" s="25" t="s">
        <v>357</v>
      </c>
      <c r="D307" s="25" t="s">
        <v>358</v>
      </c>
      <c r="E307" s="25" t="s">
        <v>391</v>
      </c>
      <c r="F307" s="25" t="s">
        <v>375</v>
      </c>
      <c r="G307" s="87">
        <f>46000-44500</f>
        <v>1500</v>
      </c>
      <c r="H307" s="87">
        <v>1500</v>
      </c>
      <c r="I307" s="87">
        <f t="shared" si="15"/>
        <v>0</v>
      </c>
      <c r="J307" s="373"/>
    </row>
    <row r="308" spans="1:10" s="8" customFormat="1" ht="28.5" customHeight="1">
      <c r="A308" s="29" t="s">
        <v>376</v>
      </c>
      <c r="B308" s="25" t="s">
        <v>205</v>
      </c>
      <c r="C308" s="25" t="s">
        <v>300</v>
      </c>
      <c r="D308" s="25" t="s">
        <v>358</v>
      </c>
      <c r="E308" s="25" t="s">
        <v>430</v>
      </c>
      <c r="F308" s="25" t="s">
        <v>375</v>
      </c>
      <c r="G308" s="87">
        <v>77700</v>
      </c>
      <c r="H308" s="87">
        <v>77601.99</v>
      </c>
      <c r="I308" s="87">
        <f t="shared" si="15"/>
        <v>98.00999999999476</v>
      </c>
      <c r="J308" s="373"/>
    </row>
    <row r="309" spans="1:10" s="8" customFormat="1" ht="28.5" customHeight="1">
      <c r="A309" s="29" t="s">
        <v>65</v>
      </c>
      <c r="B309" s="25" t="s">
        <v>205</v>
      </c>
      <c r="C309" s="25" t="s">
        <v>357</v>
      </c>
      <c r="D309" s="25" t="s">
        <v>553</v>
      </c>
      <c r="E309" s="25" t="s">
        <v>468</v>
      </c>
      <c r="F309" s="25" t="s">
        <v>547</v>
      </c>
      <c r="G309" s="87">
        <f>40000+64820.02</f>
        <v>104820.01999999999</v>
      </c>
      <c r="H309" s="87">
        <v>104820.02</v>
      </c>
      <c r="I309" s="87">
        <f t="shared" si="15"/>
        <v>0</v>
      </c>
      <c r="J309" s="373"/>
    </row>
    <row r="310" spans="1:10" s="8" customFormat="1" ht="28.5" customHeight="1">
      <c r="A310" s="29" t="s">
        <v>492</v>
      </c>
      <c r="B310" s="25" t="s">
        <v>205</v>
      </c>
      <c r="C310" s="25" t="s">
        <v>357</v>
      </c>
      <c r="D310" s="25" t="s">
        <v>358</v>
      </c>
      <c r="E310" s="25" t="s">
        <v>468</v>
      </c>
      <c r="F310" s="25" t="s">
        <v>194</v>
      </c>
      <c r="G310" s="87">
        <v>150372</v>
      </c>
      <c r="H310" s="87">
        <v>150372</v>
      </c>
      <c r="I310" s="87">
        <f t="shared" si="15"/>
        <v>0</v>
      </c>
      <c r="J310" s="373"/>
    </row>
    <row r="311" spans="1:10" s="8" customFormat="1" ht="28.5" customHeight="1">
      <c r="A311" s="29"/>
      <c r="B311" s="25" t="s">
        <v>205</v>
      </c>
      <c r="C311" s="25" t="s">
        <v>357</v>
      </c>
      <c r="D311" s="25" t="s">
        <v>358</v>
      </c>
      <c r="E311" s="25" t="s">
        <v>561</v>
      </c>
      <c r="F311" s="25" t="s">
        <v>375</v>
      </c>
      <c r="G311" s="87"/>
      <c r="H311" s="87"/>
      <c r="I311" s="87">
        <f t="shared" si="15"/>
        <v>0</v>
      </c>
      <c r="J311" s="373"/>
    </row>
    <row r="312" spans="1:10" s="8" customFormat="1" ht="28.5" customHeight="1">
      <c r="A312" s="29" t="s">
        <v>297</v>
      </c>
      <c r="B312" s="28" t="s">
        <v>205</v>
      </c>
      <c r="C312" s="28" t="s">
        <v>310</v>
      </c>
      <c r="D312" s="28" t="s">
        <v>281</v>
      </c>
      <c r="E312" s="25"/>
      <c r="F312" s="25"/>
      <c r="G312" s="71">
        <f>G315+G318+G314+G317</f>
        <v>893850</v>
      </c>
      <c r="H312" s="71">
        <f>H315+H318+H314+H317</f>
        <v>668430.5</v>
      </c>
      <c r="I312" s="71">
        <f>I315+I318+I314+I317</f>
        <v>225419.5</v>
      </c>
      <c r="J312" s="373"/>
    </row>
    <row r="313" spans="1:10" s="8" customFormat="1" ht="28.5" customHeight="1" hidden="1">
      <c r="A313" s="29" t="s">
        <v>422</v>
      </c>
      <c r="B313" s="25" t="s">
        <v>205</v>
      </c>
      <c r="C313" s="25" t="s">
        <v>387</v>
      </c>
      <c r="D313" s="25" t="s">
        <v>206</v>
      </c>
      <c r="E313" s="25" t="s">
        <v>28</v>
      </c>
      <c r="F313" s="25" t="s">
        <v>177</v>
      </c>
      <c r="G313" s="83">
        <f>98352-98352</f>
        <v>0</v>
      </c>
      <c r="H313" s="83"/>
      <c r="I313" s="87">
        <f>G313-H313</f>
        <v>0</v>
      </c>
      <c r="J313" s="309"/>
    </row>
    <row r="314" spans="1:10" s="8" customFormat="1" ht="28.5" customHeight="1">
      <c r="A314" s="29" t="s">
        <v>306</v>
      </c>
      <c r="B314" s="25" t="s">
        <v>205</v>
      </c>
      <c r="C314" s="25" t="s">
        <v>387</v>
      </c>
      <c r="D314" s="25" t="s">
        <v>206</v>
      </c>
      <c r="E314" s="25" t="s">
        <v>54</v>
      </c>
      <c r="F314" s="25" t="s">
        <v>188</v>
      </c>
      <c r="G314" s="83">
        <f>159799.5-15375+40470+21300</f>
        <v>206194.5</v>
      </c>
      <c r="H314" s="83">
        <f>103660+40470+40470</f>
        <v>184600</v>
      </c>
      <c r="I314" s="87">
        <f>G314-H314</f>
        <v>21594.5</v>
      </c>
      <c r="J314" s="309"/>
    </row>
    <row r="315" spans="1:10" s="8" customFormat="1" ht="28.5" customHeight="1">
      <c r="A315" s="133" t="s">
        <v>174</v>
      </c>
      <c r="B315" s="25" t="s">
        <v>205</v>
      </c>
      <c r="C315" s="25" t="s">
        <v>387</v>
      </c>
      <c r="D315" s="25" t="s">
        <v>206</v>
      </c>
      <c r="E315" s="25" t="s">
        <v>54</v>
      </c>
      <c r="F315" s="25" t="s">
        <v>491</v>
      </c>
      <c r="G315" s="87">
        <f>195000+205000</f>
        <v>400000</v>
      </c>
      <c r="H315" s="87">
        <v>220215</v>
      </c>
      <c r="I315" s="87">
        <f>G315-H315</f>
        <v>179785</v>
      </c>
      <c r="J315" s="309"/>
    </row>
    <row r="316" spans="1:10" s="8" customFormat="1" ht="28.5" customHeight="1" hidden="1">
      <c r="A316" s="133" t="s">
        <v>198</v>
      </c>
      <c r="B316" s="25" t="s">
        <v>205</v>
      </c>
      <c r="C316" s="25" t="s">
        <v>387</v>
      </c>
      <c r="D316" s="25" t="s">
        <v>206</v>
      </c>
      <c r="E316" s="25" t="s">
        <v>431</v>
      </c>
      <c r="F316" s="25" t="s">
        <v>191</v>
      </c>
      <c r="G316" s="87">
        <v>0</v>
      </c>
      <c r="H316" s="87"/>
      <c r="I316" s="87">
        <f>G316-H316</f>
        <v>0</v>
      </c>
      <c r="J316" s="388"/>
    </row>
    <row r="317" spans="1:10" s="8" customFormat="1" ht="73.5" customHeight="1" hidden="1">
      <c r="A317" s="334"/>
      <c r="B317" s="25" t="s">
        <v>205</v>
      </c>
      <c r="C317" s="25" t="s">
        <v>387</v>
      </c>
      <c r="D317" s="25" t="s">
        <v>206</v>
      </c>
      <c r="E317" s="25" t="s">
        <v>54</v>
      </c>
      <c r="F317" s="25" t="s">
        <v>500</v>
      </c>
      <c r="G317" s="87">
        <f>1665449-1665449</f>
        <v>0</v>
      </c>
      <c r="H317" s="87"/>
      <c r="I317" s="87">
        <f>G317-H317</f>
        <v>0</v>
      </c>
      <c r="J317" s="388"/>
    </row>
    <row r="318" spans="1:10" s="8" customFormat="1" ht="28.5" customHeight="1">
      <c r="A318" s="263"/>
      <c r="B318" s="259" t="s">
        <v>205</v>
      </c>
      <c r="C318" s="259" t="s">
        <v>387</v>
      </c>
      <c r="D318" s="259" t="s">
        <v>206</v>
      </c>
      <c r="E318" s="259" t="s">
        <v>68</v>
      </c>
      <c r="F318" s="259"/>
      <c r="G318" s="235">
        <f>G326+G324+G321+G319+G325+G322+G320+G323</f>
        <v>287655.5</v>
      </c>
      <c r="H318" s="235">
        <f>H326+H324+H321+H319+H325+H322+H320+H323</f>
        <v>263615.5</v>
      </c>
      <c r="I318" s="235">
        <f>I326+I324+I321+I319+I325+I322+I320+I323</f>
        <v>24040</v>
      </c>
      <c r="J318" s="309"/>
    </row>
    <row r="319" spans="1:10" s="8" customFormat="1" ht="28.5" customHeight="1" hidden="1">
      <c r="A319" s="133" t="s">
        <v>423</v>
      </c>
      <c r="B319" s="25" t="s">
        <v>205</v>
      </c>
      <c r="C319" s="25" t="s">
        <v>387</v>
      </c>
      <c r="D319" s="25" t="s">
        <v>206</v>
      </c>
      <c r="E319" s="25" t="s">
        <v>411</v>
      </c>
      <c r="F319" s="25" t="s">
        <v>397</v>
      </c>
      <c r="G319" s="87">
        <f>250836-250836</f>
        <v>0</v>
      </c>
      <c r="H319" s="87"/>
      <c r="I319" s="87">
        <f aca="true" t="shared" si="16" ref="I319:I327">G319-H319</f>
        <v>0</v>
      </c>
      <c r="J319" s="309"/>
    </row>
    <row r="320" spans="1:11" s="8" customFormat="1" ht="28.5" customHeight="1" hidden="1">
      <c r="A320" s="133" t="s">
        <v>423</v>
      </c>
      <c r="B320" s="25" t="s">
        <v>205</v>
      </c>
      <c r="C320" s="25" t="s">
        <v>387</v>
      </c>
      <c r="D320" s="25" t="s">
        <v>206</v>
      </c>
      <c r="E320" s="25" t="s">
        <v>437</v>
      </c>
      <c r="F320" s="25" t="s">
        <v>397</v>
      </c>
      <c r="G320" s="87">
        <v>0</v>
      </c>
      <c r="H320" s="87"/>
      <c r="I320" s="87">
        <f t="shared" si="16"/>
        <v>0</v>
      </c>
      <c r="J320" s="388"/>
      <c r="K320" s="285"/>
    </row>
    <row r="321" spans="1:10" s="8" customFormat="1" ht="28.5" customHeight="1" hidden="1">
      <c r="A321" s="133" t="s">
        <v>424</v>
      </c>
      <c r="B321" s="25" t="s">
        <v>205</v>
      </c>
      <c r="C321" s="25" t="s">
        <v>387</v>
      </c>
      <c r="D321" s="25" t="s">
        <v>206</v>
      </c>
      <c r="E321" s="25" t="s">
        <v>400</v>
      </c>
      <c r="F321" s="25" t="s">
        <v>224</v>
      </c>
      <c r="G321" s="87">
        <f>329560+20440-350000</f>
        <v>0</v>
      </c>
      <c r="H321" s="87"/>
      <c r="I321" s="87">
        <f t="shared" si="16"/>
        <v>0</v>
      </c>
      <c r="J321" s="309"/>
    </row>
    <row r="322" spans="1:10" s="8" customFormat="1" ht="28.5" customHeight="1" hidden="1">
      <c r="A322" s="133" t="s">
        <v>436</v>
      </c>
      <c r="B322" s="25" t="s">
        <v>205</v>
      </c>
      <c r="C322" s="25" t="s">
        <v>387</v>
      </c>
      <c r="D322" s="25" t="s">
        <v>206</v>
      </c>
      <c r="E322" s="25" t="s">
        <v>438</v>
      </c>
      <c r="F322" s="25" t="s">
        <v>363</v>
      </c>
      <c r="G322" s="87">
        <v>0</v>
      </c>
      <c r="H322" s="87"/>
      <c r="I322" s="87">
        <f t="shared" si="16"/>
        <v>0</v>
      </c>
      <c r="J322" s="309"/>
    </row>
    <row r="323" spans="1:10" s="8" customFormat="1" ht="28.5" customHeight="1">
      <c r="A323" s="133" t="s">
        <v>516</v>
      </c>
      <c r="B323" s="25" t="s">
        <v>205</v>
      </c>
      <c r="C323" s="25" t="s">
        <v>387</v>
      </c>
      <c r="D323" s="25" t="s">
        <v>206</v>
      </c>
      <c r="E323" s="25" t="s">
        <v>70</v>
      </c>
      <c r="F323" s="25" t="s">
        <v>191</v>
      </c>
      <c r="G323" s="87">
        <v>73080</v>
      </c>
      <c r="H323" s="87">
        <v>73080</v>
      </c>
      <c r="I323" s="87">
        <f t="shared" si="16"/>
        <v>0</v>
      </c>
      <c r="J323" s="309"/>
    </row>
    <row r="324" spans="1:18" s="8" customFormat="1" ht="28.5" customHeight="1">
      <c r="A324" s="133" t="s">
        <v>457</v>
      </c>
      <c r="B324" s="25" t="s">
        <v>205</v>
      </c>
      <c r="C324" s="25" t="s">
        <v>387</v>
      </c>
      <c r="D324" s="25" t="s">
        <v>206</v>
      </c>
      <c r="E324" s="25" t="s">
        <v>398</v>
      </c>
      <c r="F324" s="25" t="s">
        <v>193</v>
      </c>
      <c r="G324" s="87">
        <f>156000+2575.5</f>
        <v>158575.5</v>
      </c>
      <c r="H324" s="87">
        <f>110600+45360+2575.5</f>
        <v>158535.5</v>
      </c>
      <c r="I324" s="87">
        <f t="shared" si="16"/>
        <v>40</v>
      </c>
      <c r="J324" s="309"/>
      <c r="L324" s="251"/>
      <c r="N324" s="242"/>
      <c r="O324" s="242"/>
      <c r="P324" s="242"/>
      <c r="Q324" s="242"/>
      <c r="R324" s="242"/>
    </row>
    <row r="325" spans="1:18" s="8" customFormat="1" ht="28.5" customHeight="1" hidden="1">
      <c r="A325" s="133" t="s">
        <v>425</v>
      </c>
      <c r="B325" s="25" t="s">
        <v>205</v>
      </c>
      <c r="C325" s="25" t="s">
        <v>387</v>
      </c>
      <c r="D325" s="25" t="s">
        <v>206</v>
      </c>
      <c r="E325" s="25" t="s">
        <v>432</v>
      </c>
      <c r="F325" s="25" t="s">
        <v>193</v>
      </c>
      <c r="G325" s="87">
        <v>0</v>
      </c>
      <c r="H325" s="87"/>
      <c r="I325" s="87">
        <f t="shared" si="16"/>
        <v>0</v>
      </c>
      <c r="J325" s="309"/>
      <c r="L325" s="251"/>
      <c r="N325" s="242"/>
      <c r="O325" s="242"/>
      <c r="P325" s="242"/>
      <c r="Q325" s="242"/>
      <c r="R325" s="242"/>
    </row>
    <row r="326" spans="1:10" s="8" customFormat="1" ht="28.5" customHeight="1">
      <c r="A326" s="29" t="s">
        <v>259</v>
      </c>
      <c r="B326" s="25" t="s">
        <v>205</v>
      </c>
      <c r="C326" s="25" t="s">
        <v>387</v>
      </c>
      <c r="D326" s="25" t="s">
        <v>206</v>
      </c>
      <c r="E326" s="25" t="s">
        <v>399</v>
      </c>
      <c r="F326" s="25" t="s">
        <v>190</v>
      </c>
      <c r="G326" s="87">
        <v>56000</v>
      </c>
      <c r="H326" s="87">
        <v>32000</v>
      </c>
      <c r="I326" s="87">
        <f t="shared" si="16"/>
        <v>24000</v>
      </c>
      <c r="J326" s="309"/>
    </row>
    <row r="327" spans="1:10" s="8" customFormat="1" ht="28.5" customHeight="1">
      <c r="A327" s="29"/>
      <c r="B327" s="25" t="s">
        <v>205</v>
      </c>
      <c r="C327" s="25" t="s">
        <v>387</v>
      </c>
      <c r="D327" s="25" t="s">
        <v>358</v>
      </c>
      <c r="E327" s="25" t="s">
        <v>391</v>
      </c>
      <c r="F327" s="25" t="s">
        <v>375</v>
      </c>
      <c r="G327" s="87">
        <v>44500</v>
      </c>
      <c r="H327" s="87">
        <v>43200.09</v>
      </c>
      <c r="I327" s="87">
        <f t="shared" si="16"/>
        <v>1299.9100000000035</v>
      </c>
      <c r="J327" s="309"/>
    </row>
    <row r="328" spans="1:10" s="9" customFormat="1" ht="28.5" customHeight="1">
      <c r="A328" s="49" t="s">
        <v>234</v>
      </c>
      <c r="B328" s="50"/>
      <c r="C328" s="50"/>
      <c r="D328" s="50"/>
      <c r="E328" s="50"/>
      <c r="F328" s="50"/>
      <c r="G328" s="91">
        <f>G329</f>
        <v>8155950</v>
      </c>
      <c r="H328" s="91">
        <f>H329</f>
        <v>8020254.859999999</v>
      </c>
      <c r="I328" s="91">
        <f>I329</f>
        <v>135695.13999999998</v>
      </c>
      <c r="J328" s="373"/>
    </row>
    <row r="329" spans="1:10" s="8" customFormat="1" ht="28.5" customHeight="1">
      <c r="A329" s="107" t="s">
        <v>230</v>
      </c>
      <c r="B329" s="36" t="s">
        <v>235</v>
      </c>
      <c r="C329" s="36" t="s">
        <v>276</v>
      </c>
      <c r="D329" s="36"/>
      <c r="E329" s="36"/>
      <c r="F329" s="36"/>
      <c r="G329" s="93">
        <f>G330+G369+G371+G370++G372</f>
        <v>8155950</v>
      </c>
      <c r="H329" s="93">
        <f>H330+H369+H371+H370++H372</f>
        <v>8020254.859999999</v>
      </c>
      <c r="I329" s="93">
        <f>I330+I369+I371+I370++I372</f>
        <v>135695.13999999998</v>
      </c>
      <c r="J329" s="373"/>
    </row>
    <row r="330" spans="1:10" s="9" customFormat="1" ht="28.5" customHeight="1">
      <c r="A330" s="27" t="s">
        <v>311</v>
      </c>
      <c r="B330" s="28" t="s">
        <v>235</v>
      </c>
      <c r="C330" s="28" t="s">
        <v>312</v>
      </c>
      <c r="D330" s="28"/>
      <c r="E330" s="28"/>
      <c r="F330" s="28"/>
      <c r="G330" s="71">
        <f>G334+G346+G344+G345</f>
        <v>5460700</v>
      </c>
      <c r="H330" s="71">
        <f>H334+H346+H344+H345</f>
        <v>5460700</v>
      </c>
      <c r="I330" s="71">
        <f>I334+I346+I344+I345</f>
        <v>0</v>
      </c>
      <c r="J330" s="373"/>
    </row>
    <row r="331" spans="1:10" s="103" customFormat="1" ht="28.5" customHeight="1" hidden="1">
      <c r="A331" s="125" t="s">
        <v>10</v>
      </c>
      <c r="B331" s="123" t="s">
        <v>235</v>
      </c>
      <c r="C331" s="123"/>
      <c r="D331" s="123"/>
      <c r="E331" s="123" t="s">
        <v>11</v>
      </c>
      <c r="F331" s="123" t="s">
        <v>236</v>
      </c>
      <c r="G331" s="101"/>
      <c r="H331" s="101"/>
      <c r="I331" s="101"/>
      <c r="J331" s="373"/>
    </row>
    <row r="332" spans="1:10" s="103" customFormat="1" ht="28.5" customHeight="1" hidden="1">
      <c r="A332" s="125" t="s">
        <v>15</v>
      </c>
      <c r="B332" s="123" t="s">
        <v>235</v>
      </c>
      <c r="C332" s="123"/>
      <c r="D332" s="123"/>
      <c r="E332" s="123" t="s">
        <v>16</v>
      </c>
      <c r="F332" s="123" t="s">
        <v>236</v>
      </c>
      <c r="G332" s="101"/>
      <c r="H332" s="101"/>
      <c r="I332" s="101"/>
      <c r="J332" s="373"/>
    </row>
    <row r="333" spans="1:10" s="103" customFormat="1" ht="28.5" customHeight="1" hidden="1">
      <c r="A333" s="125" t="s">
        <v>237</v>
      </c>
      <c r="B333" s="123" t="s">
        <v>235</v>
      </c>
      <c r="C333" s="123"/>
      <c r="D333" s="123"/>
      <c r="E333" s="123" t="s">
        <v>12</v>
      </c>
      <c r="F333" s="123" t="s">
        <v>236</v>
      </c>
      <c r="G333" s="101"/>
      <c r="H333" s="101"/>
      <c r="I333" s="101"/>
      <c r="J333" s="373"/>
    </row>
    <row r="334" spans="1:10" s="145" customFormat="1" ht="28.5" customHeight="1">
      <c r="A334" s="184" t="s">
        <v>293</v>
      </c>
      <c r="B334" s="185" t="s">
        <v>235</v>
      </c>
      <c r="C334" s="185" t="s">
        <v>312</v>
      </c>
      <c r="D334" s="185" t="s">
        <v>294</v>
      </c>
      <c r="E334" s="185"/>
      <c r="F334" s="185"/>
      <c r="G334" s="154">
        <f>G335</f>
        <v>3485039.8000000003</v>
      </c>
      <c r="H334" s="154">
        <f>H335</f>
        <v>3485039.8000000003</v>
      </c>
      <c r="I334" s="154">
        <f>I335</f>
        <v>0</v>
      </c>
      <c r="J334" s="373"/>
    </row>
    <row r="335" spans="1:10" s="145" customFormat="1" ht="28.5" customHeight="1">
      <c r="A335" s="184" t="s">
        <v>289</v>
      </c>
      <c r="B335" s="185" t="s">
        <v>235</v>
      </c>
      <c r="C335" s="185" t="s">
        <v>312</v>
      </c>
      <c r="D335" s="185" t="s">
        <v>74</v>
      </c>
      <c r="E335" s="185"/>
      <c r="F335" s="185"/>
      <c r="G335" s="154">
        <f>G336+G337+G338+G339+G340+G342+G343+G341</f>
        <v>3485039.8000000003</v>
      </c>
      <c r="H335" s="154">
        <f>H336+H337+H338+H339+H340+H342+H343+H341</f>
        <v>3485039.8000000003</v>
      </c>
      <c r="I335" s="154">
        <f>I336+I337+I338+I339+I340+I342+I343+I341</f>
        <v>0</v>
      </c>
      <c r="J335" s="373"/>
    </row>
    <row r="336" spans="1:10" s="145" customFormat="1" ht="28.5" customHeight="1">
      <c r="A336" s="183" t="s">
        <v>10</v>
      </c>
      <c r="B336" s="136" t="s">
        <v>235</v>
      </c>
      <c r="C336" s="136" t="s">
        <v>312</v>
      </c>
      <c r="D336" s="136" t="s">
        <v>74</v>
      </c>
      <c r="E336" s="136" t="s">
        <v>11</v>
      </c>
      <c r="F336" s="136"/>
      <c r="G336" s="87">
        <f>2137526.16+102703.44+64000+108177.56+4672.03</f>
        <v>2417079.19</v>
      </c>
      <c r="H336" s="137">
        <v>2417079.19</v>
      </c>
      <c r="I336" s="83">
        <f aca="true" t="shared" si="17" ref="I336:I343">G336-H336</f>
        <v>0</v>
      </c>
      <c r="J336" s="387"/>
    </row>
    <row r="337" spans="1:10" s="145" customFormat="1" ht="28.5" customHeight="1">
      <c r="A337" s="183" t="s">
        <v>15</v>
      </c>
      <c r="B337" s="136" t="s">
        <v>235</v>
      </c>
      <c r="C337" s="136" t="s">
        <v>312</v>
      </c>
      <c r="D337" s="136" t="s">
        <v>409</v>
      </c>
      <c r="E337" s="136" t="s">
        <v>16</v>
      </c>
      <c r="F337" s="136"/>
      <c r="G337" s="87">
        <f>656102.9+31016.44+18089.49+33908.31</f>
        <v>739117.1399999999</v>
      </c>
      <c r="H337" s="137">
        <v>739117.14</v>
      </c>
      <c r="I337" s="83">
        <f t="shared" si="17"/>
        <v>0</v>
      </c>
      <c r="J337" s="373"/>
    </row>
    <row r="338" spans="1:10" s="145" customFormat="1" ht="28.5" customHeight="1">
      <c r="A338" s="183"/>
      <c r="B338" s="136" t="s">
        <v>235</v>
      </c>
      <c r="C338" s="136" t="s">
        <v>312</v>
      </c>
      <c r="D338" s="136" t="s">
        <v>74</v>
      </c>
      <c r="E338" s="136" t="s">
        <v>410</v>
      </c>
      <c r="F338" s="136"/>
      <c r="G338" s="87">
        <f>35000-4672.03</f>
        <v>30327.97</v>
      </c>
      <c r="H338" s="137">
        <f>35000-4672.03</f>
        <v>30327.97</v>
      </c>
      <c r="I338" s="83">
        <f t="shared" si="17"/>
        <v>0</v>
      </c>
      <c r="J338" s="373"/>
    </row>
    <row r="339" spans="1:10" s="145" customFormat="1" ht="28.5" customHeight="1">
      <c r="A339" s="183" t="s">
        <v>237</v>
      </c>
      <c r="B339" s="136" t="s">
        <v>235</v>
      </c>
      <c r="C339" s="136" t="s">
        <v>312</v>
      </c>
      <c r="D339" s="136" t="s">
        <v>80</v>
      </c>
      <c r="E339" s="136" t="s">
        <v>401</v>
      </c>
      <c r="F339" s="136" t="s">
        <v>160</v>
      </c>
      <c r="G339" s="87">
        <f>405960-96496.38-133719.88+36826-2426.24</f>
        <v>210143.5</v>
      </c>
      <c r="H339" s="137">
        <v>210143.5</v>
      </c>
      <c r="I339" s="83">
        <f t="shared" si="17"/>
        <v>0</v>
      </c>
      <c r="J339" s="373"/>
    </row>
    <row r="340" spans="1:10" s="145" customFormat="1" ht="28.5" customHeight="1" hidden="1">
      <c r="A340" s="183"/>
      <c r="B340" s="136" t="s">
        <v>235</v>
      </c>
      <c r="C340" s="136" t="s">
        <v>312</v>
      </c>
      <c r="D340" s="136" t="s">
        <v>80</v>
      </c>
      <c r="E340" s="136" t="s">
        <v>401</v>
      </c>
      <c r="F340" s="136" t="s">
        <v>177</v>
      </c>
      <c r="G340" s="87"/>
      <c r="H340" s="137"/>
      <c r="I340" s="83">
        <f t="shared" si="17"/>
        <v>0</v>
      </c>
      <c r="J340" s="373"/>
    </row>
    <row r="341" spans="1:10" s="145" customFormat="1" ht="28.5" customHeight="1">
      <c r="A341" s="183" t="s">
        <v>474</v>
      </c>
      <c r="B341" s="136" t="s">
        <v>235</v>
      </c>
      <c r="C341" s="136" t="s">
        <v>312</v>
      </c>
      <c r="D341" s="136" t="s">
        <v>80</v>
      </c>
      <c r="E341" s="136" t="s">
        <v>401</v>
      </c>
      <c r="F341" s="136" t="s">
        <v>177</v>
      </c>
      <c r="G341" s="87">
        <f>47760-27148</f>
        <v>20612</v>
      </c>
      <c r="H341" s="137">
        <v>20612</v>
      </c>
      <c r="I341" s="83">
        <f t="shared" si="17"/>
        <v>0</v>
      </c>
      <c r="J341" s="237"/>
    </row>
    <row r="342" spans="1:10" s="145" customFormat="1" ht="28.5" customHeight="1">
      <c r="A342" s="183" t="s">
        <v>428</v>
      </c>
      <c r="B342" s="136" t="s">
        <v>235</v>
      </c>
      <c r="C342" s="136" t="s">
        <v>312</v>
      </c>
      <c r="D342" s="136" t="s">
        <v>80</v>
      </c>
      <c r="E342" s="136" t="s">
        <v>12</v>
      </c>
      <c r="F342" s="136" t="s">
        <v>162</v>
      </c>
      <c r="G342" s="87">
        <f>28000-24600-850-850</f>
        <v>1700</v>
      </c>
      <c r="H342" s="137">
        <v>1700</v>
      </c>
      <c r="I342" s="83">
        <f t="shared" si="17"/>
        <v>0</v>
      </c>
      <c r="J342" s="373"/>
    </row>
    <row r="343" spans="1:10" s="145" customFormat="1" ht="28.5" customHeight="1">
      <c r="A343" s="133" t="s">
        <v>429</v>
      </c>
      <c r="B343" s="44" t="s">
        <v>393</v>
      </c>
      <c r="C343" s="44" t="s">
        <v>312</v>
      </c>
      <c r="D343" s="44" t="s">
        <v>80</v>
      </c>
      <c r="E343" s="44" t="s">
        <v>54</v>
      </c>
      <c r="F343" s="44" t="s">
        <v>162</v>
      </c>
      <c r="G343" s="87">
        <f>192160-36826-41334-47940</f>
        <v>66060</v>
      </c>
      <c r="H343" s="137">
        <v>66060</v>
      </c>
      <c r="I343" s="83">
        <f t="shared" si="17"/>
        <v>0</v>
      </c>
      <c r="J343" s="373"/>
    </row>
    <row r="344" spans="1:10" s="145" customFormat="1" ht="28.5" customHeight="1" hidden="1">
      <c r="A344" s="133"/>
      <c r="B344" s="44" t="s">
        <v>393</v>
      </c>
      <c r="C344" s="44" t="s">
        <v>312</v>
      </c>
      <c r="D344" s="44" t="s">
        <v>80</v>
      </c>
      <c r="E344" s="44" t="s">
        <v>398</v>
      </c>
      <c r="F344" s="44" t="s">
        <v>193</v>
      </c>
      <c r="G344" s="87"/>
      <c r="H344" s="137"/>
      <c r="I344" s="83"/>
      <c r="J344" s="373"/>
    </row>
    <row r="345" spans="1:10" s="145" customFormat="1" ht="28.5" customHeight="1" hidden="1">
      <c r="A345" s="133"/>
      <c r="B345" s="44" t="s">
        <v>393</v>
      </c>
      <c r="C345" s="44" t="s">
        <v>312</v>
      </c>
      <c r="D345" s="44" t="s">
        <v>80</v>
      </c>
      <c r="E345" s="44" t="s">
        <v>399</v>
      </c>
      <c r="F345" s="44" t="s">
        <v>190</v>
      </c>
      <c r="G345" s="87"/>
      <c r="H345" s="137"/>
      <c r="I345" s="83"/>
      <c r="J345" s="373"/>
    </row>
    <row r="346" spans="1:10" s="145" customFormat="1" ht="28.5" customHeight="1">
      <c r="A346" s="184" t="s">
        <v>297</v>
      </c>
      <c r="B346" s="185" t="s">
        <v>235</v>
      </c>
      <c r="C346" s="185" t="s">
        <v>312</v>
      </c>
      <c r="D346" s="185" t="s">
        <v>281</v>
      </c>
      <c r="E346" s="185"/>
      <c r="F346" s="185"/>
      <c r="G346" s="154">
        <f>G354+G353+G350+G352+G347+G351+G348+G349</f>
        <v>1975660.2000000002</v>
      </c>
      <c r="H346" s="154">
        <f>H354+H353+H350+H352+H347+H351+H348+H349</f>
        <v>1975660.2000000002</v>
      </c>
      <c r="I346" s="154">
        <f>I354+I353+I350+I352+I347+I351+I348+I349</f>
        <v>0</v>
      </c>
      <c r="J346" s="373"/>
    </row>
    <row r="347" spans="1:10" s="145" customFormat="1" ht="28.5" customHeight="1">
      <c r="A347" s="183" t="s">
        <v>462</v>
      </c>
      <c r="B347" s="44" t="s">
        <v>235</v>
      </c>
      <c r="C347" s="44" t="s">
        <v>312</v>
      </c>
      <c r="D347" s="44" t="s">
        <v>125</v>
      </c>
      <c r="E347" s="44" t="s">
        <v>26</v>
      </c>
      <c r="F347" s="44"/>
      <c r="G347" s="137">
        <f>41636.97-795.09</f>
        <v>40841.880000000005</v>
      </c>
      <c r="H347" s="137">
        <f>16534.68+24307.2</f>
        <v>40841.880000000005</v>
      </c>
      <c r="I347" s="137">
        <f aca="true" t="shared" si="18" ref="I347:I353">G347-H347</f>
        <v>0</v>
      </c>
      <c r="J347" s="373"/>
    </row>
    <row r="348" spans="1:10" s="145" customFormat="1" ht="28.5" customHeight="1" hidden="1">
      <c r="A348" s="183" t="s">
        <v>473</v>
      </c>
      <c r="B348" s="44" t="s">
        <v>235</v>
      </c>
      <c r="C348" s="44" t="s">
        <v>312</v>
      </c>
      <c r="D348" s="44" t="s">
        <v>206</v>
      </c>
      <c r="E348" s="44" t="s">
        <v>28</v>
      </c>
      <c r="F348" s="44" t="s">
        <v>177</v>
      </c>
      <c r="G348" s="137">
        <f>19665-19665</f>
        <v>0</v>
      </c>
      <c r="H348" s="137"/>
      <c r="I348" s="137">
        <f t="shared" si="18"/>
        <v>0</v>
      </c>
      <c r="J348" s="373"/>
    </row>
    <row r="349" spans="1:10" s="145" customFormat="1" ht="28.5" customHeight="1">
      <c r="A349" s="183" t="s">
        <v>531</v>
      </c>
      <c r="B349" s="44" t="s">
        <v>235</v>
      </c>
      <c r="C349" s="44" t="s">
        <v>312</v>
      </c>
      <c r="D349" s="44" t="s">
        <v>125</v>
      </c>
      <c r="E349" s="44" t="s">
        <v>43</v>
      </c>
      <c r="F349" s="44" t="s">
        <v>184</v>
      </c>
      <c r="G349" s="137">
        <v>90000</v>
      </c>
      <c r="H349" s="137">
        <f>14942.53+75057.47</f>
        <v>90000</v>
      </c>
      <c r="I349" s="137">
        <f t="shared" si="18"/>
        <v>0</v>
      </c>
      <c r="J349" s="373"/>
    </row>
    <row r="350" spans="1:11" s="145" customFormat="1" ht="28.5" customHeight="1">
      <c r="A350" s="133" t="s">
        <v>461</v>
      </c>
      <c r="B350" s="44" t="s">
        <v>235</v>
      </c>
      <c r="C350" s="44" t="s">
        <v>312</v>
      </c>
      <c r="D350" s="44" t="s">
        <v>125</v>
      </c>
      <c r="E350" s="44" t="s">
        <v>54</v>
      </c>
      <c r="F350" s="44" t="s">
        <v>187</v>
      </c>
      <c r="G350" s="137">
        <f>94323.08+15606-37209.25</f>
        <v>72719.83</v>
      </c>
      <c r="H350" s="137">
        <v>72719.83</v>
      </c>
      <c r="I350" s="137">
        <f t="shared" si="18"/>
        <v>0</v>
      </c>
      <c r="J350" s="309"/>
      <c r="K350" s="399"/>
    </row>
    <row r="351" spans="1:10" s="145" customFormat="1" ht="28.5" customHeight="1">
      <c r="A351" s="133" t="s">
        <v>460</v>
      </c>
      <c r="B351" s="44" t="s">
        <v>235</v>
      </c>
      <c r="C351" s="44" t="s">
        <v>312</v>
      </c>
      <c r="D351" s="44" t="s">
        <v>125</v>
      </c>
      <c r="E351" s="44" t="s">
        <v>54</v>
      </c>
      <c r="F351" s="44" t="s">
        <v>188</v>
      </c>
      <c r="G351" s="137"/>
      <c r="H351" s="137"/>
      <c r="I351" s="137">
        <f t="shared" si="18"/>
        <v>0</v>
      </c>
      <c r="J351" s="373"/>
    </row>
    <row r="352" spans="1:10" s="145" customFormat="1" ht="28.5" customHeight="1">
      <c r="A352" s="133" t="s">
        <v>198</v>
      </c>
      <c r="B352" s="44" t="s">
        <v>235</v>
      </c>
      <c r="C352" s="44" t="s">
        <v>312</v>
      </c>
      <c r="D352" s="44" t="s">
        <v>125</v>
      </c>
      <c r="E352" s="44" t="s">
        <v>70</v>
      </c>
      <c r="F352" s="44" t="s">
        <v>191</v>
      </c>
      <c r="G352" s="137">
        <f>4820-1693.53+82089.49-82089.49+185504.13</f>
        <v>188630.6</v>
      </c>
      <c r="H352" s="137">
        <f>3126.47+185504.13</f>
        <v>188630.6</v>
      </c>
      <c r="I352" s="137">
        <f t="shared" si="18"/>
        <v>0</v>
      </c>
      <c r="J352" s="309"/>
    </row>
    <row r="353" spans="1:10" s="145" customFormat="1" ht="28.5" customHeight="1">
      <c r="A353" s="133" t="s">
        <v>244</v>
      </c>
      <c r="B353" s="44" t="s">
        <v>235</v>
      </c>
      <c r="C353" s="44" t="s">
        <v>312</v>
      </c>
      <c r="D353" s="44" t="s">
        <v>125</v>
      </c>
      <c r="E353" s="44" t="s">
        <v>398</v>
      </c>
      <c r="F353" s="44" t="s">
        <v>193</v>
      </c>
      <c r="G353" s="137">
        <f>132976+201594-4820-90000-26235.88</f>
        <v>213514.12</v>
      </c>
      <c r="H353" s="87">
        <v>213514.12</v>
      </c>
      <c r="I353" s="137">
        <f t="shared" si="18"/>
        <v>0</v>
      </c>
      <c r="J353" s="309"/>
    </row>
    <row r="354" spans="1:10" s="145" customFormat="1" ht="28.5" customHeight="1">
      <c r="A354" s="184" t="s">
        <v>287</v>
      </c>
      <c r="B354" s="185" t="s">
        <v>235</v>
      </c>
      <c r="C354" s="185" t="s">
        <v>312</v>
      </c>
      <c r="D354" s="185" t="s">
        <v>206</v>
      </c>
      <c r="E354" s="185"/>
      <c r="F354" s="136"/>
      <c r="G354" s="154">
        <f>G356+G363+G362+G368+G366+G355+G367+G357+G358+G359+G361+G360</f>
        <v>1369953.7700000003</v>
      </c>
      <c r="H354" s="154">
        <f>H356+H363+H362+H368+H366+H355+H367+H357+H358+H359+H361+H360</f>
        <v>1369953.7700000003</v>
      </c>
      <c r="I354" s="154">
        <f>I356+I363+I362+I368+I366+I355+I367+I357+I358+I359+I361+I360</f>
        <v>0</v>
      </c>
      <c r="J354" s="373"/>
    </row>
    <row r="355" spans="1:10" s="145" customFormat="1" ht="28.5" customHeight="1" hidden="1">
      <c r="A355" s="183" t="s">
        <v>439</v>
      </c>
      <c r="B355" s="44" t="s">
        <v>235</v>
      </c>
      <c r="C355" s="44" t="s">
        <v>312</v>
      </c>
      <c r="D355" s="44" t="s">
        <v>206</v>
      </c>
      <c r="E355" s="44" t="s">
        <v>43</v>
      </c>
      <c r="F355" s="44" t="s">
        <v>184</v>
      </c>
      <c r="G355" s="137">
        <v>0</v>
      </c>
      <c r="H355" s="137"/>
      <c r="I355" s="83">
        <f aca="true" t="shared" si="19" ref="I355:I362">G355-H355</f>
        <v>0</v>
      </c>
      <c r="J355" s="373"/>
    </row>
    <row r="356" spans="1:10" s="9" customFormat="1" ht="28.5" customHeight="1" hidden="1">
      <c r="A356" s="133" t="s">
        <v>238</v>
      </c>
      <c r="B356" s="44" t="s">
        <v>235</v>
      </c>
      <c r="C356" s="44" t="s">
        <v>312</v>
      </c>
      <c r="D356" s="44" t="s">
        <v>206</v>
      </c>
      <c r="E356" s="44" t="s">
        <v>54</v>
      </c>
      <c r="F356" s="44" t="s">
        <v>162</v>
      </c>
      <c r="G356" s="87"/>
      <c r="H356" s="87"/>
      <c r="I356" s="83">
        <f t="shared" si="19"/>
        <v>0</v>
      </c>
      <c r="J356" s="373"/>
    </row>
    <row r="357" spans="1:10" s="9" customFormat="1" ht="28.5" customHeight="1">
      <c r="A357" s="133" t="s">
        <v>517</v>
      </c>
      <c r="B357" s="136" t="s">
        <v>235</v>
      </c>
      <c r="C357" s="136" t="s">
        <v>312</v>
      </c>
      <c r="D357" s="136" t="s">
        <v>466</v>
      </c>
      <c r="E357" s="44" t="s">
        <v>33</v>
      </c>
      <c r="F357" s="44" t="s">
        <v>207</v>
      </c>
      <c r="G357" s="87">
        <f>242051-9522.87+200000</f>
        <v>432528.13</v>
      </c>
      <c r="H357" s="87">
        <f>232528.13+200000</f>
        <v>432528.13</v>
      </c>
      <c r="I357" s="83">
        <f t="shared" si="19"/>
        <v>0</v>
      </c>
      <c r="J357" s="373"/>
    </row>
    <row r="358" spans="1:10" s="9" customFormat="1" ht="28.5" customHeight="1">
      <c r="A358" s="133" t="s">
        <v>441</v>
      </c>
      <c r="B358" s="136" t="s">
        <v>235</v>
      </c>
      <c r="C358" s="136" t="s">
        <v>312</v>
      </c>
      <c r="D358" s="136" t="s">
        <v>466</v>
      </c>
      <c r="E358" s="44" t="s">
        <v>33</v>
      </c>
      <c r="F358" s="44" t="s">
        <v>178</v>
      </c>
      <c r="G358" s="87">
        <f>127800-390-270</f>
        <v>127140</v>
      </c>
      <c r="H358" s="87">
        <v>127140</v>
      </c>
      <c r="I358" s="83">
        <f t="shared" si="19"/>
        <v>0</v>
      </c>
      <c r="J358" s="373"/>
    </row>
    <row r="359" spans="1:10" s="9" customFormat="1" ht="28.5" customHeight="1">
      <c r="A359" s="133" t="s">
        <v>518</v>
      </c>
      <c r="B359" s="136" t="s">
        <v>235</v>
      </c>
      <c r="C359" s="136" t="s">
        <v>312</v>
      </c>
      <c r="D359" s="136" t="s">
        <v>206</v>
      </c>
      <c r="E359" s="44" t="s">
        <v>33</v>
      </c>
      <c r="F359" s="44" t="s">
        <v>179</v>
      </c>
      <c r="G359" s="87">
        <v>2213</v>
      </c>
      <c r="H359" s="87">
        <v>2213</v>
      </c>
      <c r="I359" s="83">
        <f t="shared" si="19"/>
        <v>0</v>
      </c>
      <c r="J359" s="373"/>
    </row>
    <row r="360" spans="1:10" s="9" customFormat="1" ht="28.5" customHeight="1">
      <c r="A360" s="133" t="s">
        <v>528</v>
      </c>
      <c r="B360" s="136" t="s">
        <v>235</v>
      </c>
      <c r="C360" s="136" t="s">
        <v>312</v>
      </c>
      <c r="D360" s="136" t="s">
        <v>466</v>
      </c>
      <c r="E360" s="44" t="s">
        <v>33</v>
      </c>
      <c r="F360" s="44" t="s">
        <v>179</v>
      </c>
      <c r="G360" s="87">
        <f>4474-341.66</f>
        <v>4132.34</v>
      </c>
      <c r="H360" s="87">
        <v>4132.34</v>
      </c>
      <c r="I360" s="83">
        <f t="shared" si="19"/>
        <v>0</v>
      </c>
      <c r="J360" s="373"/>
    </row>
    <row r="361" spans="1:10" s="9" customFormat="1" ht="28.5" customHeight="1">
      <c r="A361" s="133" t="s">
        <v>519</v>
      </c>
      <c r="B361" s="136" t="s">
        <v>235</v>
      </c>
      <c r="C361" s="136" t="s">
        <v>312</v>
      </c>
      <c r="D361" s="136" t="s">
        <v>206</v>
      </c>
      <c r="E361" s="44" t="s">
        <v>33</v>
      </c>
      <c r="F361" s="44" t="s">
        <v>180</v>
      </c>
      <c r="G361" s="87">
        <v>2332</v>
      </c>
      <c r="H361" s="87">
        <v>2332</v>
      </c>
      <c r="I361" s="430">
        <f t="shared" si="19"/>
        <v>0</v>
      </c>
      <c r="J361" s="373"/>
    </row>
    <row r="362" spans="1:10" s="9" customFormat="1" ht="28.5" customHeight="1">
      <c r="A362" s="450" t="s">
        <v>53</v>
      </c>
      <c r="B362" s="44" t="s">
        <v>235</v>
      </c>
      <c r="C362" s="44" t="s">
        <v>312</v>
      </c>
      <c r="D362" s="44" t="s">
        <v>206</v>
      </c>
      <c r="E362" s="44" t="s">
        <v>54</v>
      </c>
      <c r="F362" s="44" t="s">
        <v>188</v>
      </c>
      <c r="G362" s="87">
        <f>236800-236800</f>
        <v>0</v>
      </c>
      <c r="H362" s="87"/>
      <c r="I362" s="83">
        <f t="shared" si="19"/>
        <v>0</v>
      </c>
      <c r="J362" s="373"/>
    </row>
    <row r="363" spans="1:10" s="9" customFormat="1" ht="28.5" customHeight="1">
      <c r="A363" s="133" t="s">
        <v>543</v>
      </c>
      <c r="B363" s="44" t="s">
        <v>393</v>
      </c>
      <c r="C363" s="44" t="s">
        <v>312</v>
      </c>
      <c r="D363" s="44" t="s">
        <v>206</v>
      </c>
      <c r="E363" s="44" t="s">
        <v>70</v>
      </c>
      <c r="F363" s="44" t="s">
        <v>191</v>
      </c>
      <c r="G363" s="87">
        <f>G364+G365</f>
        <v>333450</v>
      </c>
      <c r="H363" s="87">
        <f>H364+H365</f>
        <v>333450</v>
      </c>
      <c r="I363" s="87">
        <f>I364+I365</f>
        <v>0</v>
      </c>
      <c r="J363" s="309"/>
    </row>
    <row r="364" spans="1:10" s="9" customFormat="1" ht="28.5" customHeight="1">
      <c r="A364" s="294" t="s">
        <v>712</v>
      </c>
      <c r="B364" s="46"/>
      <c r="C364" s="46"/>
      <c r="D364" s="46"/>
      <c r="E364" s="46"/>
      <c r="F364" s="46"/>
      <c r="G364" s="268">
        <f>334041.1-591.1</f>
        <v>333450</v>
      </c>
      <c r="H364" s="268">
        <v>333450</v>
      </c>
      <c r="I364" s="82">
        <f>G364-H364</f>
        <v>0</v>
      </c>
      <c r="J364" s="309"/>
    </row>
    <row r="365" spans="1:10" s="9" customFormat="1" ht="28.5" customHeight="1">
      <c r="A365" s="294" t="s">
        <v>609</v>
      </c>
      <c r="B365" s="46"/>
      <c r="C365" s="46"/>
      <c r="D365" s="46"/>
      <c r="E365" s="46"/>
      <c r="F365" s="46"/>
      <c r="G365" s="268">
        <f>101058.9-50000-51058.9</f>
        <v>0</v>
      </c>
      <c r="H365" s="268"/>
      <c r="I365" s="82">
        <f>G365-H365</f>
        <v>0</v>
      </c>
      <c r="J365" s="309"/>
    </row>
    <row r="366" spans="1:10" s="9" customFormat="1" ht="28.5" customHeight="1">
      <c r="A366" s="133" t="s">
        <v>385</v>
      </c>
      <c r="B366" s="44" t="s">
        <v>393</v>
      </c>
      <c r="C366" s="44" t="s">
        <v>312</v>
      </c>
      <c r="D366" s="44" t="s">
        <v>206</v>
      </c>
      <c r="E366" s="44" t="s">
        <v>400</v>
      </c>
      <c r="F366" s="44" t="s">
        <v>224</v>
      </c>
      <c r="G366" s="87">
        <f>4000-4000</f>
        <v>0</v>
      </c>
      <c r="H366" s="87"/>
      <c r="I366" s="83"/>
      <c r="J366" s="309"/>
    </row>
    <row r="367" spans="1:10" s="9" customFormat="1" ht="28.5" customHeight="1">
      <c r="A367" s="133"/>
      <c r="B367" s="44" t="s">
        <v>393</v>
      </c>
      <c r="C367" s="44" t="s">
        <v>312</v>
      </c>
      <c r="D367" s="44" t="s">
        <v>206</v>
      </c>
      <c r="E367" s="44" t="s">
        <v>412</v>
      </c>
      <c r="F367" s="44" t="s">
        <v>258</v>
      </c>
      <c r="G367" s="87">
        <v>0</v>
      </c>
      <c r="H367" s="87">
        <v>0</v>
      </c>
      <c r="I367" s="83">
        <f aca="true" t="shared" si="20" ref="I367:I372">G367-H367</f>
        <v>0</v>
      </c>
      <c r="J367" s="309"/>
    </row>
    <row r="368" spans="1:10" s="9" customFormat="1" ht="28.5" customHeight="1">
      <c r="A368" s="133" t="s">
        <v>244</v>
      </c>
      <c r="B368" s="44" t="s">
        <v>235</v>
      </c>
      <c r="C368" s="44" t="s">
        <v>312</v>
      </c>
      <c r="D368" s="44" t="s">
        <v>206</v>
      </c>
      <c r="E368" s="44" t="s">
        <v>398</v>
      </c>
      <c r="F368" s="44" t="s">
        <v>193</v>
      </c>
      <c r="G368" s="87">
        <f>155781+24600+84553.51-33576.21+236800+136714.13-136714.13</f>
        <v>468158.30000000005</v>
      </c>
      <c r="H368" s="87">
        <f>88354+3853.25+139151.05+236800</f>
        <v>468158.3</v>
      </c>
      <c r="I368" s="83">
        <f t="shared" si="20"/>
        <v>0</v>
      </c>
      <c r="J368" s="388"/>
    </row>
    <row r="369" spans="1:10" s="9" customFormat="1" ht="28.5" customHeight="1">
      <c r="A369" s="295" t="s">
        <v>464</v>
      </c>
      <c r="B369" s="44" t="s">
        <v>235</v>
      </c>
      <c r="C369" s="302" t="s">
        <v>465</v>
      </c>
      <c r="D369" s="303">
        <v>121</v>
      </c>
      <c r="E369" s="304">
        <v>211</v>
      </c>
      <c r="F369" s="44"/>
      <c r="G369" s="301">
        <v>2043564</v>
      </c>
      <c r="H369" s="299">
        <v>1916685.76</v>
      </c>
      <c r="I369" s="300">
        <f t="shared" si="20"/>
        <v>126878.23999999999</v>
      </c>
      <c r="J369" s="388"/>
    </row>
    <row r="370" spans="1:10" s="9" customFormat="1" ht="28.5" customHeight="1">
      <c r="A370" s="295"/>
      <c r="B370" s="44" t="s">
        <v>235</v>
      </c>
      <c r="C370" s="302" t="s">
        <v>465</v>
      </c>
      <c r="D370" s="303">
        <v>121</v>
      </c>
      <c r="E370" s="304">
        <v>266</v>
      </c>
      <c r="F370" s="44"/>
      <c r="G370" s="301">
        <f>15000-5347.59-1000</f>
        <v>8652.41</v>
      </c>
      <c r="H370" s="299">
        <v>0</v>
      </c>
      <c r="I370" s="300">
        <f t="shared" si="20"/>
        <v>8652.41</v>
      </c>
      <c r="J370" s="309"/>
    </row>
    <row r="371" spans="1:10" s="9" customFormat="1" ht="28.5" customHeight="1">
      <c r="A371" s="295" t="s">
        <v>479</v>
      </c>
      <c r="B371" s="44" t="s">
        <v>235</v>
      </c>
      <c r="C371" s="302" t="s">
        <v>465</v>
      </c>
      <c r="D371" s="303">
        <v>129</v>
      </c>
      <c r="E371" s="304">
        <v>213</v>
      </c>
      <c r="F371" s="44"/>
      <c r="G371" s="301">
        <f>621686+15047.59+1000</f>
        <v>637733.59</v>
      </c>
      <c r="H371" s="299">
        <v>637569.1</v>
      </c>
      <c r="I371" s="300">
        <f t="shared" si="20"/>
        <v>164.4899999999907</v>
      </c>
      <c r="J371" s="309"/>
    </row>
    <row r="372" spans="1:10" s="9" customFormat="1" ht="28.5" customHeight="1">
      <c r="A372" s="295" t="s">
        <v>472</v>
      </c>
      <c r="B372" s="44" t="s">
        <v>235</v>
      </c>
      <c r="C372" s="302" t="s">
        <v>465</v>
      </c>
      <c r="D372" s="303">
        <v>122</v>
      </c>
      <c r="E372" s="304">
        <v>212</v>
      </c>
      <c r="F372" s="44" t="s">
        <v>162</v>
      </c>
      <c r="G372" s="301">
        <f>15000-9700</f>
        <v>5300</v>
      </c>
      <c r="H372" s="299">
        <v>5300</v>
      </c>
      <c r="I372" s="300">
        <f t="shared" si="20"/>
        <v>0</v>
      </c>
      <c r="J372" s="309"/>
    </row>
    <row r="373" spans="1:10" s="9" customFormat="1" ht="39.75" customHeight="1">
      <c r="A373" s="49" t="s">
        <v>126</v>
      </c>
      <c r="B373" s="73" t="s">
        <v>127</v>
      </c>
      <c r="C373" s="73"/>
      <c r="D373" s="73"/>
      <c r="E373" s="73"/>
      <c r="F373" s="73"/>
      <c r="G373" s="97">
        <f>G375+G397+G380</f>
        <v>1405751.1099999999</v>
      </c>
      <c r="H373" s="97">
        <f>H375+H397+H380</f>
        <v>1326090.18</v>
      </c>
      <c r="I373" s="97">
        <f>I375+I397+I380</f>
        <v>79660.92999999998</v>
      </c>
      <c r="J373" s="387"/>
    </row>
    <row r="374" spans="1:10" s="103" customFormat="1" ht="39.75" customHeight="1" hidden="1">
      <c r="A374" s="126" t="s">
        <v>238</v>
      </c>
      <c r="B374" s="127" t="s">
        <v>239</v>
      </c>
      <c r="C374" s="127"/>
      <c r="D374" s="127"/>
      <c r="E374" s="127" t="s">
        <v>54</v>
      </c>
      <c r="F374" s="127" t="s">
        <v>240</v>
      </c>
      <c r="G374" s="102"/>
      <c r="H374" s="102"/>
      <c r="I374" s="102"/>
      <c r="J374" s="373"/>
    </row>
    <row r="375" spans="1:10" s="8" customFormat="1" ht="39.75" customHeight="1">
      <c r="A375" s="107" t="s">
        <v>230</v>
      </c>
      <c r="B375" s="40"/>
      <c r="C375" s="40"/>
      <c r="D375" s="40"/>
      <c r="E375" s="40"/>
      <c r="F375" s="40"/>
      <c r="G375" s="84">
        <f>G376+G378</f>
        <v>205125</v>
      </c>
      <c r="H375" s="84">
        <f>H376+H378</f>
        <v>167160.48</v>
      </c>
      <c r="I375" s="84">
        <f>I376+I378</f>
        <v>37964.520000000004</v>
      </c>
      <c r="J375" s="373"/>
    </row>
    <row r="376" spans="1:10" s="8" customFormat="1" ht="39.75" customHeight="1">
      <c r="A376" s="104" t="s">
        <v>313</v>
      </c>
      <c r="B376" s="40" t="s">
        <v>239</v>
      </c>
      <c r="C376" s="40" t="s">
        <v>560</v>
      </c>
      <c r="D376" s="40"/>
      <c r="E376" s="40"/>
      <c r="F376" s="40"/>
      <c r="G376" s="93">
        <f>G377</f>
        <v>138000</v>
      </c>
      <c r="H376" s="93">
        <f>H377</f>
        <v>138000</v>
      </c>
      <c r="I376" s="93">
        <f>I377</f>
        <v>0</v>
      </c>
      <c r="J376" s="373"/>
    </row>
    <row r="377" spans="1:10" s="8" customFormat="1" ht="39.75" customHeight="1">
      <c r="A377" s="133" t="s">
        <v>314</v>
      </c>
      <c r="B377" s="44" t="s">
        <v>239</v>
      </c>
      <c r="C377" s="44" t="s">
        <v>560</v>
      </c>
      <c r="D377" s="44" t="s">
        <v>206</v>
      </c>
      <c r="E377" s="44" t="s">
        <v>54</v>
      </c>
      <c r="F377" s="44" t="s">
        <v>188</v>
      </c>
      <c r="G377" s="239">
        <f>161100-23100</f>
        <v>138000</v>
      </c>
      <c r="H377" s="87">
        <v>138000</v>
      </c>
      <c r="I377" s="83">
        <f>G377-H377</f>
        <v>0</v>
      </c>
      <c r="J377" s="373"/>
    </row>
    <row r="378" spans="1:10" s="8" customFormat="1" ht="39.75" customHeight="1">
      <c r="A378" s="133" t="s">
        <v>576</v>
      </c>
      <c r="B378" s="44" t="s">
        <v>239</v>
      </c>
      <c r="C378" s="302" t="s">
        <v>465</v>
      </c>
      <c r="D378" s="44" t="s">
        <v>206</v>
      </c>
      <c r="E378" s="44" t="s">
        <v>54</v>
      </c>
      <c r="F378" s="44" t="s">
        <v>188</v>
      </c>
      <c r="G378" s="239">
        <f>26850+40275</f>
        <v>67125</v>
      </c>
      <c r="H378" s="87">
        <v>29160.48</v>
      </c>
      <c r="I378" s="83">
        <f>G378-H378</f>
        <v>37964.520000000004</v>
      </c>
      <c r="J378" s="373"/>
    </row>
    <row r="379" spans="1:10" s="9" customFormat="1" ht="39.75" customHeight="1">
      <c r="A379" s="106" t="s">
        <v>229</v>
      </c>
      <c r="B379" s="108"/>
      <c r="C379" s="108"/>
      <c r="D379" s="108"/>
      <c r="E379" s="108"/>
      <c r="F379" s="109"/>
      <c r="G379" s="71"/>
      <c r="H379" s="71"/>
      <c r="I379" s="71"/>
      <c r="J379" s="373"/>
    </row>
    <row r="380" spans="1:10" s="9" customFormat="1" ht="78" customHeight="1">
      <c r="A380" s="311" t="s">
        <v>649</v>
      </c>
      <c r="B380" s="254" t="s">
        <v>539</v>
      </c>
      <c r="C380" s="349"/>
      <c r="D380" s="349"/>
      <c r="E380" s="349"/>
      <c r="F380" s="349"/>
      <c r="G380" s="255">
        <f>G381+G391+G390+G382+G393+G396+G388+G389+G387+G386</f>
        <v>620946.11</v>
      </c>
      <c r="H380" s="255">
        <f>H381+H391+H390+H382+H393+H396+H388+H389+H387+H386</f>
        <v>579249.7</v>
      </c>
      <c r="I380" s="255">
        <f>I381+I391+I390+I382+I393+I396+I388+I389+I387+I386</f>
        <v>41696.409999999974</v>
      </c>
      <c r="J380" s="373"/>
    </row>
    <row r="381" spans="1:10" s="9" customFormat="1" ht="39.75" customHeight="1">
      <c r="A381" s="29"/>
      <c r="B381" s="25" t="s">
        <v>539</v>
      </c>
      <c r="C381" s="136" t="s">
        <v>654</v>
      </c>
      <c r="D381" s="136" t="s">
        <v>125</v>
      </c>
      <c r="E381" s="136" t="s">
        <v>26</v>
      </c>
      <c r="F381" s="136"/>
      <c r="G381" s="83">
        <v>3000</v>
      </c>
      <c r="H381" s="83">
        <v>3000</v>
      </c>
      <c r="I381" s="87">
        <f>G381-H381</f>
        <v>0</v>
      </c>
      <c r="J381" s="309"/>
    </row>
    <row r="382" spans="1:10" s="9" customFormat="1" ht="39.75" customHeight="1">
      <c r="A382" s="29" t="s">
        <v>790</v>
      </c>
      <c r="B382" s="25" t="s">
        <v>539</v>
      </c>
      <c r="C382" s="136" t="s">
        <v>654</v>
      </c>
      <c r="D382" s="136" t="s">
        <v>206</v>
      </c>
      <c r="E382" s="136" t="s">
        <v>398</v>
      </c>
      <c r="F382" s="359" t="s">
        <v>193</v>
      </c>
      <c r="G382" s="352">
        <f>G383+G385+G384</f>
        <v>45849.7</v>
      </c>
      <c r="H382" s="352">
        <f>H383+H385+H384</f>
        <v>45849.7</v>
      </c>
      <c r="I382" s="352">
        <f>I383+I385</f>
        <v>0</v>
      </c>
      <c r="J382" s="309"/>
    </row>
    <row r="383" spans="1:10" s="9" customFormat="1" ht="39.75" customHeight="1">
      <c r="A383" s="29" t="s">
        <v>791</v>
      </c>
      <c r="B383" s="358"/>
      <c r="C383" s="136"/>
      <c r="D383" s="359"/>
      <c r="E383" s="359"/>
      <c r="F383" s="359"/>
      <c r="G383" s="352">
        <v>11776</v>
      </c>
      <c r="H383" s="352">
        <v>11776</v>
      </c>
      <c r="I383" s="87">
        <f>G383-H383</f>
        <v>0</v>
      </c>
      <c r="J383" s="309"/>
    </row>
    <row r="384" spans="1:10" s="9" customFormat="1" ht="39.75" customHeight="1">
      <c r="A384" s="29" t="s">
        <v>794</v>
      </c>
      <c r="B384" s="358"/>
      <c r="C384" s="136"/>
      <c r="D384" s="359"/>
      <c r="E384" s="359"/>
      <c r="F384" s="359"/>
      <c r="G384" s="352">
        <v>34073.7</v>
      </c>
      <c r="H384" s="352">
        <v>34073.7</v>
      </c>
      <c r="I384" s="87">
        <f>G384-H384</f>
        <v>0</v>
      </c>
      <c r="J384" s="309"/>
    </row>
    <row r="385" spans="1:10" s="9" customFormat="1" ht="39.75" customHeight="1">
      <c r="A385" s="29" t="s">
        <v>609</v>
      </c>
      <c r="B385" s="358"/>
      <c r="C385" s="136"/>
      <c r="D385" s="359"/>
      <c r="E385" s="359"/>
      <c r="F385" s="359"/>
      <c r="G385" s="352">
        <f>74716.78-34073.7-15000-25643.08</f>
        <v>0</v>
      </c>
      <c r="H385" s="226"/>
      <c r="I385" s="87">
        <f>G385-H385</f>
        <v>0</v>
      </c>
      <c r="J385" s="309"/>
    </row>
    <row r="386" spans="1:10" s="9" customFormat="1" ht="39.75" customHeight="1">
      <c r="A386" s="29" t="s">
        <v>875</v>
      </c>
      <c r="B386" s="25" t="s">
        <v>539</v>
      </c>
      <c r="C386" s="136" t="s">
        <v>654</v>
      </c>
      <c r="D386" s="136" t="s">
        <v>206</v>
      </c>
      <c r="E386" s="136" t="s">
        <v>54</v>
      </c>
      <c r="F386" s="359" t="s">
        <v>188</v>
      </c>
      <c r="G386" s="352">
        <v>30000</v>
      </c>
      <c r="H386" s="352">
        <v>10000</v>
      </c>
      <c r="I386" s="87">
        <f>G386-H386</f>
        <v>20000</v>
      </c>
      <c r="J386" s="309"/>
    </row>
    <row r="387" spans="1:10" s="9" customFormat="1" ht="39.75" customHeight="1">
      <c r="A387" s="29" t="s">
        <v>819</v>
      </c>
      <c r="B387" s="25" t="s">
        <v>539</v>
      </c>
      <c r="C387" s="136" t="s">
        <v>654</v>
      </c>
      <c r="D387" s="136" t="s">
        <v>125</v>
      </c>
      <c r="E387" s="136" t="s">
        <v>398</v>
      </c>
      <c r="F387" s="359" t="s">
        <v>193</v>
      </c>
      <c r="G387" s="352">
        <f>15000+3000</f>
        <v>18000</v>
      </c>
      <c r="H387" s="352">
        <v>18000</v>
      </c>
      <c r="I387" s="87"/>
      <c r="J387" s="309"/>
    </row>
    <row r="388" spans="1:10" s="9" customFormat="1" ht="39.75" customHeight="1">
      <c r="A388" s="29" t="s">
        <v>818</v>
      </c>
      <c r="B388" s="25" t="s">
        <v>539</v>
      </c>
      <c r="C388" s="136" t="s">
        <v>654</v>
      </c>
      <c r="D388" s="136" t="s">
        <v>125</v>
      </c>
      <c r="E388" s="136" t="s">
        <v>70</v>
      </c>
      <c r="F388" s="359" t="s">
        <v>191</v>
      </c>
      <c r="G388" s="352">
        <f>67000+13400</f>
        <v>80400</v>
      </c>
      <c r="H388" s="352">
        <v>80400</v>
      </c>
      <c r="I388" s="87"/>
      <c r="J388" s="309"/>
    </row>
    <row r="389" spans="1:10" s="9" customFormat="1" ht="39.75" customHeight="1">
      <c r="A389" s="29" t="s">
        <v>820</v>
      </c>
      <c r="B389" s="25" t="s">
        <v>539</v>
      </c>
      <c r="C389" s="136" t="s">
        <v>654</v>
      </c>
      <c r="D389" s="136" t="s">
        <v>206</v>
      </c>
      <c r="E389" s="136" t="s">
        <v>70</v>
      </c>
      <c r="F389" s="359" t="s">
        <v>191</v>
      </c>
      <c r="G389" s="352">
        <v>66000</v>
      </c>
      <c r="H389" s="352">
        <v>66000</v>
      </c>
      <c r="I389" s="87"/>
      <c r="J389" s="309"/>
    </row>
    <row r="390" spans="1:10" s="9" customFormat="1" ht="39.75" customHeight="1">
      <c r="A390" s="187" t="s">
        <v>792</v>
      </c>
      <c r="B390" s="358" t="s">
        <v>539</v>
      </c>
      <c r="C390" s="136" t="s">
        <v>654</v>
      </c>
      <c r="D390" s="359" t="s">
        <v>240</v>
      </c>
      <c r="E390" s="359" t="s">
        <v>388</v>
      </c>
      <c r="F390" s="359" t="s">
        <v>194</v>
      </c>
      <c r="G390" s="352">
        <f>36000+10000-36000</f>
        <v>10000</v>
      </c>
      <c r="H390" s="352">
        <v>0</v>
      </c>
      <c r="I390" s="87">
        <f>G390-H390</f>
        <v>10000</v>
      </c>
      <c r="J390" s="309"/>
    </row>
    <row r="391" spans="1:10" s="9" customFormat="1" ht="39.75" customHeight="1">
      <c r="A391" s="187" t="s">
        <v>643</v>
      </c>
      <c r="B391" s="358" t="s">
        <v>539</v>
      </c>
      <c r="C391" s="136" t="s">
        <v>569</v>
      </c>
      <c r="D391" s="359" t="s">
        <v>206</v>
      </c>
      <c r="E391" s="359" t="s">
        <v>398</v>
      </c>
      <c r="F391" s="359" t="s">
        <v>193</v>
      </c>
      <c r="G391" s="352">
        <f>G392</f>
        <v>21000</v>
      </c>
      <c r="H391" s="352">
        <f>H392</f>
        <v>21000</v>
      </c>
      <c r="I391" s="352">
        <f>I392</f>
        <v>0</v>
      </c>
      <c r="J391" s="309"/>
    </row>
    <row r="392" spans="1:10" s="9" customFormat="1" ht="39.75" customHeight="1">
      <c r="A392" s="187" t="s">
        <v>644</v>
      </c>
      <c r="B392" s="358"/>
      <c r="C392" s="359"/>
      <c r="D392" s="359"/>
      <c r="E392" s="359"/>
      <c r="F392" s="359"/>
      <c r="G392" s="352">
        <v>21000</v>
      </c>
      <c r="H392" s="352">
        <v>21000</v>
      </c>
      <c r="I392" s="429">
        <f>G392-H392</f>
        <v>0</v>
      </c>
      <c r="J392" s="309"/>
    </row>
    <row r="393" spans="1:10" s="9" customFormat="1" ht="39.75" customHeight="1">
      <c r="A393" s="187"/>
      <c r="B393" s="358" t="s">
        <v>539</v>
      </c>
      <c r="C393" s="136" t="s">
        <v>570</v>
      </c>
      <c r="D393" s="359" t="s">
        <v>206</v>
      </c>
      <c r="E393" s="359" t="s">
        <v>54</v>
      </c>
      <c r="F393" s="359" t="s">
        <v>188</v>
      </c>
      <c r="G393" s="352">
        <f>G394+G395</f>
        <v>241696.40999999997</v>
      </c>
      <c r="H393" s="352">
        <f>H394+H395</f>
        <v>230000</v>
      </c>
      <c r="I393" s="352">
        <f>I394+I395</f>
        <v>11696.409999999974</v>
      </c>
      <c r="J393" s="309"/>
    </row>
    <row r="394" spans="1:10" s="9" customFormat="1" ht="39.75" customHeight="1">
      <c r="A394" s="444" t="s">
        <v>723</v>
      </c>
      <c r="B394" s="445"/>
      <c r="C394" s="204"/>
      <c r="D394" s="446"/>
      <c r="E394" s="446"/>
      <c r="F394" s="446"/>
      <c r="G394" s="362">
        <f>235543.33-1756.92</f>
        <v>233786.40999999997</v>
      </c>
      <c r="H394" s="362">
        <v>230000</v>
      </c>
      <c r="I394" s="429">
        <f>G394-H394</f>
        <v>3786.4099999999744</v>
      </c>
      <c r="J394" s="309"/>
    </row>
    <row r="395" spans="1:10" s="9" customFormat="1" ht="39.75" customHeight="1">
      <c r="A395" s="444" t="s">
        <v>724</v>
      </c>
      <c r="B395" s="445"/>
      <c r="C395" s="204"/>
      <c r="D395" s="446"/>
      <c r="E395" s="446"/>
      <c r="F395" s="446"/>
      <c r="G395" s="451">
        <f>159910-122000-30000</f>
        <v>7910</v>
      </c>
      <c r="H395" s="362"/>
      <c r="I395" s="429">
        <f>G395-H395</f>
        <v>7910</v>
      </c>
      <c r="J395" s="309"/>
    </row>
    <row r="396" spans="1:10" s="9" customFormat="1" ht="39.75" customHeight="1">
      <c r="A396" s="435" t="s">
        <v>690</v>
      </c>
      <c r="B396" s="358" t="s">
        <v>539</v>
      </c>
      <c r="C396" s="136" t="s">
        <v>673</v>
      </c>
      <c r="D396" s="359" t="s">
        <v>206</v>
      </c>
      <c r="E396" s="359" t="s">
        <v>54</v>
      </c>
      <c r="F396" s="359" t="s">
        <v>188</v>
      </c>
      <c r="G396" s="352">
        <v>105000</v>
      </c>
      <c r="H396" s="352">
        <v>105000</v>
      </c>
      <c r="I396" s="429">
        <f>G396-H396</f>
        <v>0</v>
      </c>
      <c r="J396" s="309"/>
    </row>
    <row r="397" spans="1:10" s="9" customFormat="1" ht="58.5" customHeight="1">
      <c r="A397" s="311" t="s">
        <v>650</v>
      </c>
      <c r="B397" s="347" t="s">
        <v>494</v>
      </c>
      <c r="C397" s="347"/>
      <c r="D397" s="347"/>
      <c r="E397" s="347"/>
      <c r="F397" s="347"/>
      <c r="G397" s="348">
        <f>G417+G418+G420+G423+G424+G419</f>
        <v>579680</v>
      </c>
      <c r="H397" s="348">
        <f>H417+H418+H420+H423+H424+H419</f>
        <v>579680</v>
      </c>
      <c r="I397" s="348">
        <f>I417+I418+I420+I423+I424+I419</f>
        <v>0</v>
      </c>
      <c r="J397" s="387"/>
    </row>
    <row r="398" spans="1:10" s="103" customFormat="1" ht="39.75" customHeight="1" hidden="1">
      <c r="A398" s="130" t="s">
        <v>245</v>
      </c>
      <c r="B398" s="129" t="s">
        <v>128</v>
      </c>
      <c r="C398" s="129"/>
      <c r="D398" s="129" t="s">
        <v>206</v>
      </c>
      <c r="E398" s="129" t="s">
        <v>28</v>
      </c>
      <c r="F398" s="129" t="s">
        <v>177</v>
      </c>
      <c r="G398" s="101"/>
      <c r="H398" s="101"/>
      <c r="I398" s="101"/>
      <c r="J398" s="373"/>
    </row>
    <row r="399" spans="1:10" s="103" customFormat="1" ht="39.75" customHeight="1" hidden="1">
      <c r="A399" s="130" t="s">
        <v>246</v>
      </c>
      <c r="B399" s="129" t="s">
        <v>128</v>
      </c>
      <c r="C399" s="129"/>
      <c r="D399" s="129" t="s">
        <v>206</v>
      </c>
      <c r="E399" s="129" t="s">
        <v>54</v>
      </c>
      <c r="F399" s="129" t="s">
        <v>188</v>
      </c>
      <c r="G399" s="101"/>
      <c r="H399" s="101"/>
      <c r="I399" s="101"/>
      <c r="J399" s="373"/>
    </row>
    <row r="400" spans="1:10" s="103" customFormat="1" ht="39.75" customHeight="1" hidden="1">
      <c r="A400" s="130" t="s">
        <v>247</v>
      </c>
      <c r="B400" s="129" t="s">
        <v>128</v>
      </c>
      <c r="C400" s="129"/>
      <c r="D400" s="129" t="s">
        <v>206</v>
      </c>
      <c r="E400" s="129" t="s">
        <v>66</v>
      </c>
      <c r="F400" s="129" t="s">
        <v>190</v>
      </c>
      <c r="G400" s="101"/>
      <c r="H400" s="101"/>
      <c r="I400" s="101"/>
      <c r="J400" s="373"/>
    </row>
    <row r="401" spans="1:10" s="103" customFormat="1" ht="39.75" customHeight="1" hidden="1">
      <c r="A401" s="130" t="s">
        <v>248</v>
      </c>
      <c r="B401" s="129" t="s">
        <v>128</v>
      </c>
      <c r="C401" s="129"/>
      <c r="D401" s="129" t="s">
        <v>206</v>
      </c>
      <c r="E401" s="129" t="s">
        <v>66</v>
      </c>
      <c r="F401" s="129" t="s">
        <v>194</v>
      </c>
      <c r="G401" s="101"/>
      <c r="H401" s="101"/>
      <c r="I401" s="101"/>
      <c r="J401" s="373"/>
    </row>
    <row r="402" spans="1:10" s="103" customFormat="1" ht="39.75" customHeight="1" hidden="1">
      <c r="A402" s="130" t="s">
        <v>198</v>
      </c>
      <c r="B402" s="129" t="s">
        <v>128</v>
      </c>
      <c r="C402" s="129"/>
      <c r="D402" s="129" t="s">
        <v>206</v>
      </c>
      <c r="E402" s="129" t="s">
        <v>70</v>
      </c>
      <c r="F402" s="129" t="s">
        <v>191</v>
      </c>
      <c r="G402" s="101"/>
      <c r="H402" s="101"/>
      <c r="I402" s="101"/>
      <c r="J402" s="373"/>
    </row>
    <row r="403" spans="1:10" s="103" customFormat="1" ht="39.75" customHeight="1" hidden="1">
      <c r="A403" s="130" t="s">
        <v>249</v>
      </c>
      <c r="B403" s="129" t="s">
        <v>128</v>
      </c>
      <c r="C403" s="129"/>
      <c r="D403" s="129" t="s">
        <v>206</v>
      </c>
      <c r="E403" s="129" t="s">
        <v>78</v>
      </c>
      <c r="F403" s="129" t="s">
        <v>224</v>
      </c>
      <c r="G403" s="101"/>
      <c r="H403" s="101"/>
      <c r="I403" s="101"/>
      <c r="J403" s="373"/>
    </row>
    <row r="404" spans="1:10" s="103" customFormat="1" ht="39.75" customHeight="1" hidden="1">
      <c r="A404" s="130" t="s">
        <v>250</v>
      </c>
      <c r="B404" s="129" t="s">
        <v>128</v>
      </c>
      <c r="C404" s="129"/>
      <c r="D404" s="129" t="s">
        <v>206</v>
      </c>
      <c r="E404" s="129" t="s">
        <v>78</v>
      </c>
      <c r="F404" s="129" t="s">
        <v>193</v>
      </c>
      <c r="G404" s="101"/>
      <c r="H404" s="101"/>
      <c r="I404" s="101"/>
      <c r="J404" s="373"/>
    </row>
    <row r="405" spans="1:10" s="145" customFormat="1" ht="39.75" customHeight="1" hidden="1">
      <c r="A405" s="187" t="s">
        <v>476</v>
      </c>
      <c r="B405" s="136" t="s">
        <v>128</v>
      </c>
      <c r="C405" s="136" t="s">
        <v>475</v>
      </c>
      <c r="D405" s="136" t="s">
        <v>206</v>
      </c>
      <c r="E405" s="136" t="s">
        <v>54</v>
      </c>
      <c r="F405" s="136" t="s">
        <v>188</v>
      </c>
      <c r="G405" s="87">
        <f>200240.5-321.14-199919.36</f>
        <v>0</v>
      </c>
      <c r="H405" s="87"/>
      <c r="I405" s="87">
        <f>G405-H405</f>
        <v>0</v>
      </c>
      <c r="J405" s="309"/>
    </row>
    <row r="406" spans="1:10" s="145" customFormat="1" ht="39.75" customHeight="1" hidden="1">
      <c r="A406" s="187" t="s">
        <v>477</v>
      </c>
      <c r="B406" s="136" t="s">
        <v>128</v>
      </c>
      <c r="C406" s="136" t="s">
        <v>478</v>
      </c>
      <c r="D406" s="136" t="s">
        <v>206</v>
      </c>
      <c r="E406" s="136" t="s">
        <v>54</v>
      </c>
      <c r="F406" s="136" t="s">
        <v>188</v>
      </c>
      <c r="G406" s="87">
        <f>36674.9-58.86-36616.04</f>
        <v>0</v>
      </c>
      <c r="H406" s="87"/>
      <c r="I406" s="87">
        <f>G406-H406</f>
        <v>0</v>
      </c>
      <c r="J406" s="309"/>
    </row>
    <row r="407" spans="1:10" s="145" customFormat="1" ht="39.75" customHeight="1" hidden="1">
      <c r="A407" s="187" t="s">
        <v>476</v>
      </c>
      <c r="B407" s="136" t="s">
        <v>128</v>
      </c>
      <c r="C407" s="136" t="s">
        <v>475</v>
      </c>
      <c r="D407" s="136" t="s">
        <v>206</v>
      </c>
      <c r="E407" s="136" t="s">
        <v>398</v>
      </c>
      <c r="F407" s="136" t="s">
        <v>193</v>
      </c>
      <c r="G407" s="87">
        <f>18154.9+321.14-18476.04</f>
        <v>0</v>
      </c>
      <c r="H407" s="87"/>
      <c r="I407" s="87"/>
      <c r="J407" s="309"/>
    </row>
    <row r="408" spans="1:10" s="145" customFormat="1" ht="39.75" customHeight="1" hidden="1">
      <c r="A408" s="187" t="s">
        <v>477</v>
      </c>
      <c r="B408" s="136" t="s">
        <v>128</v>
      </c>
      <c r="C408" s="136" t="s">
        <v>478</v>
      </c>
      <c r="D408" s="136" t="s">
        <v>206</v>
      </c>
      <c r="E408" s="136" t="s">
        <v>398</v>
      </c>
      <c r="F408" s="136" t="s">
        <v>193</v>
      </c>
      <c r="G408" s="87">
        <f>3325.1+58.86-3383.96</f>
        <v>0</v>
      </c>
      <c r="H408" s="87"/>
      <c r="I408" s="87"/>
      <c r="J408" s="309"/>
    </row>
    <row r="409" spans="1:10" s="103" customFormat="1" ht="39.75" customHeight="1" hidden="1">
      <c r="A409" s="126" t="s">
        <v>241</v>
      </c>
      <c r="B409" s="129" t="s">
        <v>128</v>
      </c>
      <c r="C409" s="129"/>
      <c r="D409" s="129" t="s">
        <v>206</v>
      </c>
      <c r="E409" s="129" t="s">
        <v>54</v>
      </c>
      <c r="F409" s="129" t="s">
        <v>188</v>
      </c>
      <c r="G409" s="101"/>
      <c r="H409" s="101"/>
      <c r="I409" s="101"/>
      <c r="J409" s="373"/>
    </row>
    <row r="410" spans="1:10" s="103" customFormat="1" ht="39.75" customHeight="1" hidden="1">
      <c r="A410" s="126" t="s">
        <v>242</v>
      </c>
      <c r="B410" s="129" t="s">
        <v>128</v>
      </c>
      <c r="C410" s="129"/>
      <c r="D410" s="129" t="s">
        <v>125</v>
      </c>
      <c r="E410" s="129" t="s">
        <v>54</v>
      </c>
      <c r="F410" s="129" t="s">
        <v>188</v>
      </c>
      <c r="G410" s="101"/>
      <c r="H410" s="101"/>
      <c r="I410" s="101"/>
      <c r="J410" s="373"/>
    </row>
    <row r="411" spans="1:10" s="103" customFormat="1" ht="39.75" customHeight="1" hidden="1">
      <c r="A411" s="126" t="s">
        <v>198</v>
      </c>
      <c r="B411" s="129" t="s">
        <v>128</v>
      </c>
      <c r="C411" s="129"/>
      <c r="D411" s="129" t="s">
        <v>206</v>
      </c>
      <c r="E411" s="129" t="s">
        <v>70</v>
      </c>
      <c r="F411" s="129" t="s">
        <v>191</v>
      </c>
      <c r="G411" s="101"/>
      <c r="H411" s="101"/>
      <c r="I411" s="101"/>
      <c r="J411" s="373"/>
    </row>
    <row r="412" spans="1:10" s="103" customFormat="1" ht="39.75" customHeight="1" hidden="1">
      <c r="A412" s="126" t="s">
        <v>243</v>
      </c>
      <c r="B412" s="129" t="s">
        <v>128</v>
      </c>
      <c r="C412" s="129"/>
      <c r="D412" s="129" t="s">
        <v>125</v>
      </c>
      <c r="E412" s="129" t="s">
        <v>70</v>
      </c>
      <c r="F412" s="129" t="s">
        <v>191</v>
      </c>
      <c r="G412" s="101"/>
      <c r="H412" s="101"/>
      <c r="I412" s="101"/>
      <c r="J412" s="373"/>
    </row>
    <row r="413" spans="1:10" s="103" customFormat="1" ht="39.75" customHeight="1" hidden="1">
      <c r="A413" s="126" t="s">
        <v>223</v>
      </c>
      <c r="B413" s="129" t="s">
        <v>128</v>
      </c>
      <c r="C413" s="129"/>
      <c r="D413" s="129" t="s">
        <v>206</v>
      </c>
      <c r="E413" s="129" t="s">
        <v>78</v>
      </c>
      <c r="F413" s="129" t="s">
        <v>192</v>
      </c>
      <c r="G413" s="101"/>
      <c r="H413" s="101"/>
      <c r="I413" s="101"/>
      <c r="J413" s="373"/>
    </row>
    <row r="414" spans="1:10" s="103" customFormat="1" ht="39.75" customHeight="1" hidden="1">
      <c r="A414" s="126" t="s">
        <v>244</v>
      </c>
      <c r="B414" s="129" t="s">
        <v>128</v>
      </c>
      <c r="C414" s="129"/>
      <c r="D414" s="129" t="s">
        <v>125</v>
      </c>
      <c r="E414" s="129" t="s">
        <v>78</v>
      </c>
      <c r="F414" s="129" t="s">
        <v>193</v>
      </c>
      <c r="G414" s="101"/>
      <c r="H414" s="101"/>
      <c r="I414" s="101"/>
      <c r="J414" s="373"/>
    </row>
    <row r="415" spans="1:10" s="103" customFormat="1" ht="39.75" customHeight="1" hidden="1">
      <c r="A415" s="126" t="s">
        <v>244</v>
      </c>
      <c r="B415" s="129" t="s">
        <v>128</v>
      </c>
      <c r="C415" s="129"/>
      <c r="D415" s="129" t="s">
        <v>206</v>
      </c>
      <c r="E415" s="129" t="s">
        <v>78</v>
      </c>
      <c r="F415" s="129" t="s">
        <v>193</v>
      </c>
      <c r="G415" s="101"/>
      <c r="H415" s="101"/>
      <c r="I415" s="101"/>
      <c r="J415" s="373"/>
    </row>
    <row r="416" spans="1:10" s="8" customFormat="1" ht="39.75" customHeight="1" hidden="1">
      <c r="A416" s="53" t="s">
        <v>315</v>
      </c>
      <c r="B416" s="136" t="s">
        <v>128</v>
      </c>
      <c r="C416" s="136" t="s">
        <v>381</v>
      </c>
      <c r="D416" s="136" t="s">
        <v>206</v>
      </c>
      <c r="E416" s="136" t="s">
        <v>70</v>
      </c>
      <c r="F416" s="136" t="s">
        <v>191</v>
      </c>
      <c r="G416" s="137"/>
      <c r="H416" s="137"/>
      <c r="I416" s="87">
        <f aca="true" t="shared" si="21" ref="I416:I424">G416-H416</f>
        <v>0</v>
      </c>
      <c r="J416" s="373"/>
    </row>
    <row r="417" spans="1:10" s="8" customFormat="1" ht="39.75" customHeight="1">
      <c r="A417" s="29" t="s">
        <v>496</v>
      </c>
      <c r="B417" s="136" t="s">
        <v>494</v>
      </c>
      <c r="C417" s="136" t="s">
        <v>568</v>
      </c>
      <c r="D417" s="136" t="s">
        <v>125</v>
      </c>
      <c r="E417" s="136" t="s">
        <v>43</v>
      </c>
      <c r="F417" s="136" t="s">
        <v>184</v>
      </c>
      <c r="G417" s="137">
        <f>355034.57-5034.57</f>
        <v>350000</v>
      </c>
      <c r="H417" s="137">
        <v>350000</v>
      </c>
      <c r="I417" s="87">
        <f t="shared" si="21"/>
        <v>0</v>
      </c>
      <c r="J417" s="373"/>
    </row>
    <row r="418" spans="1:10" s="8" customFormat="1" ht="39.75" customHeight="1">
      <c r="A418" s="29" t="s">
        <v>65</v>
      </c>
      <c r="B418" s="136" t="s">
        <v>494</v>
      </c>
      <c r="C418" s="136" t="s">
        <v>569</v>
      </c>
      <c r="D418" s="136" t="s">
        <v>206</v>
      </c>
      <c r="E418" s="136" t="s">
        <v>54</v>
      </c>
      <c r="F418" s="136" t="s">
        <v>188</v>
      </c>
      <c r="G418" s="137">
        <f>53750-53750</f>
        <v>0</v>
      </c>
      <c r="H418" s="137"/>
      <c r="I418" s="87">
        <f t="shared" si="21"/>
        <v>0</v>
      </c>
      <c r="J418" s="373"/>
    </row>
    <row r="419" spans="1:10" s="8" customFormat="1" ht="39.75" customHeight="1">
      <c r="A419" s="29" t="s">
        <v>619</v>
      </c>
      <c r="B419" s="136" t="s">
        <v>494</v>
      </c>
      <c r="C419" s="136" t="s">
        <v>569</v>
      </c>
      <c r="D419" s="136" t="s">
        <v>206</v>
      </c>
      <c r="E419" s="136" t="s">
        <v>70</v>
      </c>
      <c r="F419" s="136" t="s">
        <v>191</v>
      </c>
      <c r="G419" s="137">
        <v>168000</v>
      </c>
      <c r="H419" s="137">
        <f>168000</f>
        <v>168000</v>
      </c>
      <c r="I419" s="87">
        <f>G419-H419</f>
        <v>0</v>
      </c>
      <c r="J419" s="373"/>
    </row>
    <row r="420" spans="1:10" s="8" customFormat="1" ht="39.75" customHeight="1">
      <c r="A420" s="29" t="s">
        <v>620</v>
      </c>
      <c r="B420" s="136" t="s">
        <v>494</v>
      </c>
      <c r="C420" s="136" t="s">
        <v>569</v>
      </c>
      <c r="D420" s="136" t="s">
        <v>206</v>
      </c>
      <c r="E420" s="136" t="s">
        <v>398</v>
      </c>
      <c r="F420" s="136" t="s">
        <v>193</v>
      </c>
      <c r="G420" s="137">
        <f>G421+G422</f>
        <v>61680</v>
      </c>
      <c r="H420" s="137">
        <f>H421+H422</f>
        <v>61680</v>
      </c>
      <c r="I420" s="137">
        <f>I421+I422</f>
        <v>0</v>
      </c>
      <c r="J420" s="373"/>
    </row>
    <row r="421" spans="1:10" s="8" customFormat="1" ht="39.75" customHeight="1" hidden="1">
      <c r="A421" s="53" t="s">
        <v>637</v>
      </c>
      <c r="B421" s="204"/>
      <c r="C421" s="204"/>
      <c r="D421" s="204"/>
      <c r="E421" s="204"/>
      <c r="F421" s="204"/>
      <c r="G421" s="343">
        <f>48958.21-21000-27958.21</f>
        <v>0</v>
      </c>
      <c r="H421" s="343">
        <v>0</v>
      </c>
      <c r="I421" s="268">
        <f>G421-H421</f>
        <v>0</v>
      </c>
      <c r="J421" s="373"/>
    </row>
    <row r="422" spans="1:10" s="8" customFormat="1" ht="39.75" customHeight="1">
      <c r="A422" s="53" t="s">
        <v>621</v>
      </c>
      <c r="B422" s="204"/>
      <c r="C422" s="204"/>
      <c r="D422" s="204"/>
      <c r="E422" s="204"/>
      <c r="F422" s="204"/>
      <c r="G422" s="343">
        <v>61680</v>
      </c>
      <c r="H422" s="343">
        <v>61680</v>
      </c>
      <c r="I422" s="268">
        <f>G422-H422</f>
        <v>0</v>
      </c>
      <c r="J422" s="373"/>
    </row>
    <row r="423" spans="1:10" s="145" customFormat="1" ht="25.5" customHeight="1">
      <c r="A423" s="187" t="s">
        <v>65</v>
      </c>
      <c r="B423" s="136" t="s">
        <v>494</v>
      </c>
      <c r="C423" s="136" t="s">
        <v>570</v>
      </c>
      <c r="D423" s="136" t="s">
        <v>206</v>
      </c>
      <c r="E423" s="136" t="s">
        <v>54</v>
      </c>
      <c r="F423" s="136" t="s">
        <v>188</v>
      </c>
      <c r="G423" s="87">
        <f>160000-160000</f>
        <v>0</v>
      </c>
      <c r="H423" s="87"/>
      <c r="I423" s="87">
        <f t="shared" si="21"/>
        <v>0</v>
      </c>
      <c r="J423" s="309"/>
    </row>
    <row r="424" spans="1:10" s="145" customFormat="1" ht="25.5" customHeight="1">
      <c r="A424" s="29" t="s">
        <v>495</v>
      </c>
      <c r="B424" s="136" t="s">
        <v>494</v>
      </c>
      <c r="C424" s="136" t="s">
        <v>569</v>
      </c>
      <c r="D424" s="136" t="s">
        <v>240</v>
      </c>
      <c r="E424" s="136" t="s">
        <v>388</v>
      </c>
      <c r="F424" s="136" t="s">
        <v>194</v>
      </c>
      <c r="G424" s="87">
        <f>48750-15930-32820</f>
        <v>0</v>
      </c>
      <c r="H424" s="87"/>
      <c r="I424" s="87">
        <f t="shared" si="21"/>
        <v>0</v>
      </c>
      <c r="J424" s="387"/>
    </row>
    <row r="425" spans="1:10" s="145" customFormat="1" ht="30.75" customHeight="1">
      <c r="A425" s="319" t="s">
        <v>129</v>
      </c>
      <c r="B425" s="231"/>
      <c r="C425" s="231"/>
      <c r="D425" s="231"/>
      <c r="E425" s="231"/>
      <c r="F425" s="231"/>
      <c r="G425" s="232">
        <f>G426+G430+G436+G464+G472</f>
        <v>47256105.69</v>
      </c>
      <c r="H425" s="232">
        <f>H426+H430+H436+H464+H472</f>
        <v>29252811.400000002</v>
      </c>
      <c r="I425" s="232">
        <f>I426+I430+I436+I464+I472</f>
        <v>18003294.289999995</v>
      </c>
      <c r="J425" s="309"/>
    </row>
    <row r="426" spans="1:10" s="105" customFormat="1" ht="45.75" customHeight="1">
      <c r="A426" s="311" t="s">
        <v>651</v>
      </c>
      <c r="B426" s="254"/>
      <c r="C426" s="320"/>
      <c r="D426" s="254"/>
      <c r="E426" s="254"/>
      <c r="F426" s="254"/>
      <c r="G426" s="255">
        <f>G427</f>
        <v>460100.8</v>
      </c>
      <c r="H426" s="255">
        <f>H427</f>
        <v>274589.63</v>
      </c>
      <c r="I426" s="255">
        <f>I427</f>
        <v>185511.16999999998</v>
      </c>
      <c r="J426" s="297"/>
    </row>
    <row r="427" spans="1:10" s="105" customFormat="1" ht="39.75" customHeight="1">
      <c r="A427" s="104" t="s">
        <v>316</v>
      </c>
      <c r="B427" s="36" t="s">
        <v>270</v>
      </c>
      <c r="C427" s="36"/>
      <c r="D427" s="36"/>
      <c r="E427" s="36"/>
      <c r="F427" s="36"/>
      <c r="G427" s="93">
        <f>G428+G429</f>
        <v>460100.8</v>
      </c>
      <c r="H427" s="93">
        <f>H428+H429</f>
        <v>274589.63</v>
      </c>
      <c r="I427" s="93">
        <f>I428+I429</f>
        <v>185511.16999999998</v>
      </c>
      <c r="J427" s="297"/>
    </row>
    <row r="428" spans="1:10" s="105" customFormat="1" ht="27.75" customHeight="1">
      <c r="A428" s="133" t="s">
        <v>353</v>
      </c>
      <c r="B428" s="44" t="s">
        <v>270</v>
      </c>
      <c r="C428" s="44" t="s">
        <v>571</v>
      </c>
      <c r="D428" s="44" t="s">
        <v>206</v>
      </c>
      <c r="E428" s="44" t="s">
        <v>54</v>
      </c>
      <c r="F428" s="44" t="s">
        <v>188</v>
      </c>
      <c r="G428" s="87">
        <f>100000+150000</f>
        <v>250000</v>
      </c>
      <c r="H428" s="87">
        <v>250000</v>
      </c>
      <c r="I428" s="87">
        <f>G428-H428</f>
        <v>0</v>
      </c>
      <c r="J428" s="297"/>
    </row>
    <row r="429" spans="1:11" s="105" customFormat="1" ht="31.5" customHeight="1">
      <c r="A429" s="133" t="s">
        <v>354</v>
      </c>
      <c r="B429" s="44" t="s">
        <v>270</v>
      </c>
      <c r="C429" s="44" t="s">
        <v>571</v>
      </c>
      <c r="D429" s="44" t="s">
        <v>206</v>
      </c>
      <c r="E429" s="44" t="s">
        <v>54</v>
      </c>
      <c r="F429" s="44" t="s">
        <v>188</v>
      </c>
      <c r="G429" s="87">
        <v>210100.8</v>
      </c>
      <c r="H429" s="87">
        <v>24589.63</v>
      </c>
      <c r="I429" s="87">
        <f>G429-H429</f>
        <v>185511.16999999998</v>
      </c>
      <c r="J429" s="309"/>
      <c r="K429" s="145"/>
    </row>
    <row r="430" spans="1:10" s="105" customFormat="1" ht="31.5" customHeight="1">
      <c r="A430" s="104" t="s">
        <v>467</v>
      </c>
      <c r="B430" s="36" t="s">
        <v>164</v>
      </c>
      <c r="C430" s="36" t="s">
        <v>463</v>
      </c>
      <c r="D430" s="36"/>
      <c r="E430" s="36"/>
      <c r="F430" s="36"/>
      <c r="G430" s="93">
        <f>G433+G434</f>
        <v>6707029</v>
      </c>
      <c r="H430" s="93">
        <f>H433+H434</f>
        <v>6706196.380000001</v>
      </c>
      <c r="I430" s="93">
        <f>I433+I434</f>
        <v>832.6199999991804</v>
      </c>
      <c r="J430" s="297"/>
    </row>
    <row r="431" spans="1:10" s="131" customFormat="1" ht="31.5" customHeight="1" hidden="1">
      <c r="A431" s="126" t="s">
        <v>251</v>
      </c>
      <c r="B431" s="129" t="s">
        <v>164</v>
      </c>
      <c r="C431" s="44" t="s">
        <v>463</v>
      </c>
      <c r="D431" s="129" t="s">
        <v>206</v>
      </c>
      <c r="E431" s="129" t="s">
        <v>28</v>
      </c>
      <c r="F431" s="129" t="s">
        <v>177</v>
      </c>
      <c r="G431" s="87"/>
      <c r="H431" s="101"/>
      <c r="I431" s="101"/>
      <c r="J431" s="297"/>
    </row>
    <row r="432" spans="1:10" s="189" customFormat="1" ht="31.5" customHeight="1">
      <c r="A432" s="114" t="s">
        <v>230</v>
      </c>
      <c r="B432" s="136"/>
      <c r="C432" s="44"/>
      <c r="D432" s="136"/>
      <c r="E432" s="136"/>
      <c r="F432" s="185"/>
      <c r="G432" s="137"/>
      <c r="H432" s="137"/>
      <c r="I432" s="154"/>
      <c r="J432" s="297"/>
    </row>
    <row r="433" spans="1:10" s="189" customFormat="1" ht="31.5" customHeight="1">
      <c r="A433" s="187" t="s">
        <v>413</v>
      </c>
      <c r="B433" s="25" t="s">
        <v>164</v>
      </c>
      <c r="C433" s="44" t="s">
        <v>463</v>
      </c>
      <c r="D433" s="44" t="s">
        <v>206</v>
      </c>
      <c r="E433" s="44" t="s">
        <v>28</v>
      </c>
      <c r="F433" s="44" t="s">
        <v>177</v>
      </c>
      <c r="G433" s="83">
        <f>6626680+10335+70014</f>
        <v>6707029</v>
      </c>
      <c r="H433" s="137">
        <f>6625846.98+10335.4+70014</f>
        <v>6706196.380000001</v>
      </c>
      <c r="I433" s="137">
        <f>G433-H433</f>
        <v>832.6199999991804</v>
      </c>
      <c r="J433" s="247"/>
    </row>
    <row r="434" spans="1:10" s="189" customFormat="1" ht="31.5" customHeight="1">
      <c r="A434" s="187" t="s">
        <v>674</v>
      </c>
      <c r="B434" s="25" t="s">
        <v>164</v>
      </c>
      <c r="C434" s="44" t="s">
        <v>463</v>
      </c>
      <c r="D434" s="44" t="s">
        <v>206</v>
      </c>
      <c r="E434" s="44" t="s">
        <v>70</v>
      </c>
      <c r="F434" s="44" t="s">
        <v>191</v>
      </c>
      <c r="G434" s="83">
        <f>600000-10335-589665</f>
        <v>0</v>
      </c>
      <c r="H434" s="137"/>
      <c r="I434" s="137">
        <f>G434-H434</f>
        <v>0</v>
      </c>
      <c r="J434" s="297"/>
    </row>
    <row r="435" spans="1:10" s="105" customFormat="1" ht="14.25" customHeight="1">
      <c r="A435" s="106" t="s">
        <v>231</v>
      </c>
      <c r="B435" s="36"/>
      <c r="C435" s="36"/>
      <c r="D435" s="36"/>
      <c r="E435" s="36"/>
      <c r="F435" s="36"/>
      <c r="G435" s="87"/>
      <c r="H435" s="87"/>
      <c r="I435" s="225"/>
      <c r="J435" s="297"/>
    </row>
    <row r="436" spans="1:13" s="105" customFormat="1" ht="48.75" customHeight="1">
      <c r="A436" s="311" t="s">
        <v>498</v>
      </c>
      <c r="B436" s="181" t="s">
        <v>233</v>
      </c>
      <c r="C436" s="181"/>
      <c r="D436" s="181"/>
      <c r="E436" s="181"/>
      <c r="F436" s="181"/>
      <c r="G436" s="180">
        <f>G442+G446+G451+G454+G456+G458+G448+G437+G440+G460+G462</f>
        <v>38316443.14</v>
      </c>
      <c r="H436" s="180">
        <f>H442+H446+H451+H454+H456+H458+H448+H437+H440+H460+H462</f>
        <v>21554580.11</v>
      </c>
      <c r="I436" s="180">
        <f>I442+I446+I451+I454+I456+I458+I448+I437+I440+I460+I462</f>
        <v>16761863.029999997</v>
      </c>
      <c r="J436" s="390"/>
      <c r="K436" s="265"/>
      <c r="L436" s="265"/>
      <c r="M436" s="265"/>
    </row>
    <row r="437" spans="1:13" s="105" customFormat="1" ht="30" customHeight="1">
      <c r="A437" s="439" t="s">
        <v>677</v>
      </c>
      <c r="B437" s="327" t="s">
        <v>233</v>
      </c>
      <c r="C437" s="327" t="s">
        <v>572</v>
      </c>
      <c r="D437" s="327" t="s">
        <v>253</v>
      </c>
      <c r="E437" s="327" t="s">
        <v>43</v>
      </c>
      <c r="F437" s="327" t="s">
        <v>521</v>
      </c>
      <c r="G437" s="328">
        <f>G439+G438</f>
        <v>10694630</v>
      </c>
      <c r="H437" s="328">
        <f>H439+H438</f>
        <v>0</v>
      </c>
      <c r="I437" s="328">
        <f>I439+I438</f>
        <v>10694630</v>
      </c>
      <c r="J437" s="437"/>
      <c r="K437" s="265"/>
      <c r="L437" s="265"/>
      <c r="M437" s="265"/>
    </row>
    <row r="438" spans="1:14" s="105" customFormat="1" ht="30" customHeight="1">
      <c r="A438" s="345" t="s">
        <v>730</v>
      </c>
      <c r="B438" s="44"/>
      <c r="C438" s="44"/>
      <c r="D438" s="44"/>
      <c r="E438" s="44"/>
      <c r="F438" s="44"/>
      <c r="G438" s="87">
        <f>10694630-1948068.24+1948068.24</f>
        <v>10694630</v>
      </c>
      <c r="H438" s="87"/>
      <c r="I438" s="87">
        <f>G438-H438</f>
        <v>10694630</v>
      </c>
      <c r="J438" s="419"/>
      <c r="K438" s="470"/>
      <c r="L438" s="470"/>
      <c r="M438" s="470"/>
      <c r="N438" s="242"/>
    </row>
    <row r="439" spans="1:13" s="105" customFormat="1" ht="26.25" customHeight="1">
      <c r="A439" s="438"/>
      <c r="B439" s="36"/>
      <c r="C439" s="36"/>
      <c r="D439" s="36"/>
      <c r="E439" s="36"/>
      <c r="F439" s="36"/>
      <c r="G439" s="87">
        <f>16099119.34-10694630-5404489.34</f>
        <v>0</v>
      </c>
      <c r="H439" s="87"/>
      <c r="I439" s="87">
        <f>G439-H439</f>
        <v>0</v>
      </c>
      <c r="J439" s="437"/>
      <c r="K439" s="265"/>
      <c r="L439" s="265"/>
      <c r="M439" s="265"/>
    </row>
    <row r="440" spans="1:13" s="105" customFormat="1" ht="28.5" customHeight="1">
      <c r="A440" s="439" t="s">
        <v>678</v>
      </c>
      <c r="B440" s="327" t="s">
        <v>233</v>
      </c>
      <c r="C440" s="327" t="s">
        <v>572</v>
      </c>
      <c r="D440" s="327" t="s">
        <v>253</v>
      </c>
      <c r="E440" s="327" t="s">
        <v>43</v>
      </c>
      <c r="F440" s="327" t="s">
        <v>182</v>
      </c>
      <c r="G440" s="328">
        <f>G441</f>
        <v>0</v>
      </c>
      <c r="H440" s="328">
        <f>H441</f>
        <v>0</v>
      </c>
      <c r="I440" s="328">
        <f>I441</f>
        <v>0</v>
      </c>
      <c r="J440" s="437"/>
      <c r="K440" s="265"/>
      <c r="L440" s="265"/>
      <c r="M440" s="265"/>
    </row>
    <row r="441" spans="1:13" s="105" customFormat="1" ht="31.5" customHeight="1">
      <c r="A441" s="438"/>
      <c r="B441" s="36"/>
      <c r="C441" s="36"/>
      <c r="D441" s="36"/>
      <c r="E441" s="36"/>
      <c r="F441" s="36"/>
      <c r="G441" s="87">
        <f>1000000-100000-180280-719720</f>
        <v>0</v>
      </c>
      <c r="H441" s="87"/>
      <c r="I441" s="87">
        <f>G441-H441</f>
        <v>0</v>
      </c>
      <c r="J441" s="437"/>
      <c r="K441" s="265"/>
      <c r="L441" s="265"/>
      <c r="M441" s="265"/>
    </row>
    <row r="442" spans="1:12" s="152" customFormat="1" ht="33" customHeight="1">
      <c r="A442" s="336" t="s">
        <v>535</v>
      </c>
      <c r="B442" s="327" t="s">
        <v>233</v>
      </c>
      <c r="C442" s="327" t="s">
        <v>572</v>
      </c>
      <c r="D442" s="327" t="s">
        <v>206</v>
      </c>
      <c r="E442" s="327" t="s">
        <v>43</v>
      </c>
      <c r="F442" s="327" t="s">
        <v>521</v>
      </c>
      <c r="G442" s="328">
        <f>G443+G445</f>
        <v>657175.24</v>
      </c>
      <c r="H442" s="328">
        <f>H443+H445</f>
        <v>656215.24</v>
      </c>
      <c r="I442" s="328">
        <f>I443+I445</f>
        <v>960</v>
      </c>
      <c r="J442" s="297"/>
      <c r="K442" s="253"/>
      <c r="L442" s="105"/>
    </row>
    <row r="443" spans="1:12" s="152" customFormat="1" ht="42.75" customHeight="1">
      <c r="A443" s="339" t="s">
        <v>879</v>
      </c>
      <c r="B443" s="25"/>
      <c r="C443" s="44"/>
      <c r="D443" s="44"/>
      <c r="E443" s="44"/>
      <c r="F443" s="44"/>
      <c r="G443" s="87">
        <v>359215.24</v>
      </c>
      <c r="H443" s="87">
        <v>359215.24</v>
      </c>
      <c r="I443" s="137">
        <f>G443-H443</f>
        <v>0</v>
      </c>
      <c r="J443" s="297"/>
      <c r="K443" s="105"/>
      <c r="L443" s="105"/>
    </row>
    <row r="444" spans="1:12" s="152" customFormat="1" ht="33" customHeight="1" hidden="1">
      <c r="A444" s="24" t="s">
        <v>529</v>
      </c>
      <c r="B444" s="25"/>
      <c r="C444" s="44"/>
      <c r="D444" s="44"/>
      <c r="E444" s="44"/>
      <c r="F444" s="44"/>
      <c r="G444" s="87"/>
      <c r="H444" s="87"/>
      <c r="I444" s="83"/>
      <c r="J444" s="247"/>
      <c r="K444" s="242"/>
      <c r="L444" s="105"/>
    </row>
    <row r="445" spans="1:12" s="152" customFormat="1" ht="33" customHeight="1">
      <c r="A445" s="339" t="s">
        <v>807</v>
      </c>
      <c r="B445" s="25"/>
      <c r="C445" s="44"/>
      <c r="D445" s="44"/>
      <c r="E445" s="44"/>
      <c r="F445" s="44"/>
      <c r="G445" s="87">
        <f>5329588.66-5031628.66</f>
        <v>297960</v>
      </c>
      <c r="H445" s="87">
        <v>297000</v>
      </c>
      <c r="I445" s="137">
        <f>G445-H445</f>
        <v>960</v>
      </c>
      <c r="J445" s="247"/>
      <c r="K445" s="242"/>
      <c r="L445" s="105"/>
    </row>
    <row r="446" spans="1:12" s="152" customFormat="1" ht="33" customHeight="1">
      <c r="A446" s="336" t="s">
        <v>530</v>
      </c>
      <c r="B446" s="327" t="s">
        <v>233</v>
      </c>
      <c r="C446" s="327" t="s">
        <v>572</v>
      </c>
      <c r="D446" s="327" t="s">
        <v>206</v>
      </c>
      <c r="E446" s="327" t="s">
        <v>43</v>
      </c>
      <c r="F446" s="327" t="s">
        <v>184</v>
      </c>
      <c r="G446" s="328">
        <f>G447</f>
        <v>17228882.49</v>
      </c>
      <c r="H446" s="328">
        <f>H447</f>
        <v>17165209.87</v>
      </c>
      <c r="I446" s="328">
        <f>I447</f>
        <v>63672.61999999732</v>
      </c>
      <c r="J446" s="297"/>
      <c r="K446" s="105"/>
      <c r="L446" s="105"/>
    </row>
    <row r="447" spans="1:12" s="152" customFormat="1" ht="33" customHeight="1">
      <c r="A447" s="187" t="s">
        <v>318</v>
      </c>
      <c r="B447" s="337"/>
      <c r="C447" s="337"/>
      <c r="D447" s="337"/>
      <c r="E447" s="337"/>
      <c r="F447" s="337"/>
      <c r="G447" s="87">
        <f>13071737.78+2251214-42137.53+1948068.24</f>
        <v>17228882.49</v>
      </c>
      <c r="H447" s="87">
        <v>17165209.87</v>
      </c>
      <c r="I447" s="87">
        <f>G447-H447</f>
        <v>63672.61999999732</v>
      </c>
      <c r="J447" s="247"/>
      <c r="K447" s="242"/>
      <c r="L447" s="105"/>
    </row>
    <row r="448" spans="1:12" s="152" customFormat="1" ht="33" customHeight="1">
      <c r="A448" s="400" t="s">
        <v>559</v>
      </c>
      <c r="B448" s="327" t="s">
        <v>233</v>
      </c>
      <c r="C448" s="327" t="s">
        <v>572</v>
      </c>
      <c r="D448" s="327" t="s">
        <v>206</v>
      </c>
      <c r="E448" s="327" t="s">
        <v>54</v>
      </c>
      <c r="F448" s="327" t="s">
        <v>188</v>
      </c>
      <c r="G448" s="328">
        <f>G449+G450</f>
        <v>1230000</v>
      </c>
      <c r="H448" s="328">
        <f>H449+H450</f>
        <v>130000</v>
      </c>
      <c r="I448" s="328">
        <f>I449+I450</f>
        <v>1100000</v>
      </c>
      <c r="J448" s="247"/>
      <c r="K448" s="242"/>
      <c r="L448" s="105"/>
    </row>
    <row r="449" spans="1:12" s="152" customFormat="1" ht="33" customHeight="1">
      <c r="A449" s="402" t="s">
        <v>573</v>
      </c>
      <c r="B449" s="44"/>
      <c r="C449" s="44"/>
      <c r="D449" s="44"/>
      <c r="E449" s="44"/>
      <c r="F449" s="44"/>
      <c r="G449" s="87">
        <v>130000</v>
      </c>
      <c r="H449" s="87">
        <f>130000</f>
        <v>130000</v>
      </c>
      <c r="I449" s="87">
        <f>G449-H449</f>
        <v>0</v>
      </c>
      <c r="J449" s="247"/>
      <c r="K449" s="242"/>
      <c r="L449" s="105"/>
    </row>
    <row r="450" spans="1:12" s="152" customFormat="1" ht="33" customHeight="1">
      <c r="A450" s="402" t="s">
        <v>701</v>
      </c>
      <c r="B450" s="44"/>
      <c r="C450" s="44"/>
      <c r="D450" s="44"/>
      <c r="E450" s="44"/>
      <c r="F450" s="44"/>
      <c r="G450" s="87">
        <v>1100000</v>
      </c>
      <c r="H450" s="87">
        <v>0</v>
      </c>
      <c r="I450" s="87">
        <f>G450-H450</f>
        <v>1100000</v>
      </c>
      <c r="J450" s="247"/>
      <c r="K450" s="242"/>
      <c r="L450" s="105"/>
    </row>
    <row r="451" spans="1:12" s="152" customFormat="1" ht="36" customHeight="1">
      <c r="A451" s="336" t="s">
        <v>551</v>
      </c>
      <c r="B451" s="327" t="s">
        <v>233</v>
      </c>
      <c r="C451" s="327" t="s">
        <v>676</v>
      </c>
      <c r="D451" s="327" t="s">
        <v>253</v>
      </c>
      <c r="E451" s="327" t="s">
        <v>54</v>
      </c>
      <c r="F451" s="327" t="s">
        <v>521</v>
      </c>
      <c r="G451" s="328">
        <f>G452+G453</f>
        <v>3616228.13</v>
      </c>
      <c r="H451" s="328">
        <f>H452+H453</f>
        <v>3422875</v>
      </c>
      <c r="I451" s="328">
        <f>I452+I453</f>
        <v>193353.1299999999</v>
      </c>
      <c r="J451" s="374"/>
      <c r="K451" s="242"/>
      <c r="L451" s="105"/>
    </row>
    <row r="452" spans="1:12" s="152" customFormat="1" ht="36" customHeight="1">
      <c r="A452" s="48" t="s">
        <v>691</v>
      </c>
      <c r="B452" s="44"/>
      <c r="C452" s="44"/>
      <c r="D452" s="44"/>
      <c r="E452" s="44"/>
      <c r="F452" s="44"/>
      <c r="G452" s="87">
        <v>3616228.13</v>
      </c>
      <c r="H452" s="87">
        <v>3422875</v>
      </c>
      <c r="I452" s="87">
        <f>G452-H452</f>
        <v>193353.1299999999</v>
      </c>
      <c r="J452" s="374"/>
      <c r="K452" s="242"/>
      <c r="L452" s="105"/>
    </row>
    <row r="453" spans="1:12" s="152" customFormat="1" ht="36" customHeight="1">
      <c r="A453" s="361"/>
      <c r="B453" s="44"/>
      <c r="C453" s="44"/>
      <c r="D453" s="44"/>
      <c r="E453" s="44"/>
      <c r="F453" s="44"/>
      <c r="G453" s="87"/>
      <c r="H453" s="87"/>
      <c r="I453" s="87">
        <f>G453-H453</f>
        <v>0</v>
      </c>
      <c r="J453" s="247"/>
      <c r="K453" s="242"/>
      <c r="L453" s="105"/>
    </row>
    <row r="454" spans="1:12" s="152" customFormat="1" ht="36" customHeight="1">
      <c r="A454" s="336" t="s">
        <v>675</v>
      </c>
      <c r="B454" s="327" t="s">
        <v>233</v>
      </c>
      <c r="C454" s="327" t="s">
        <v>676</v>
      </c>
      <c r="D454" s="327" t="s">
        <v>253</v>
      </c>
      <c r="E454" s="327" t="s">
        <v>54</v>
      </c>
      <c r="F454" s="327" t="s">
        <v>500</v>
      </c>
      <c r="G454" s="328">
        <f>G455</f>
        <v>3673709.37</v>
      </c>
      <c r="H454" s="328">
        <f>H455</f>
        <v>0</v>
      </c>
      <c r="I454" s="328">
        <f>I455</f>
        <v>3673709.37</v>
      </c>
      <c r="J454" s="247"/>
      <c r="K454" s="242"/>
      <c r="L454" s="105"/>
    </row>
    <row r="455" spans="1:12" s="152" customFormat="1" ht="36" customHeight="1">
      <c r="A455" s="48" t="s">
        <v>691</v>
      </c>
      <c r="B455" s="44"/>
      <c r="C455" s="44"/>
      <c r="D455" s="44"/>
      <c r="E455" s="44"/>
      <c r="F455" s="44"/>
      <c r="G455" s="87">
        <v>3673709.37</v>
      </c>
      <c r="H455" s="87">
        <v>0</v>
      </c>
      <c r="I455" s="87">
        <f>G455-H455</f>
        <v>3673709.37</v>
      </c>
      <c r="J455" s="247"/>
      <c r="K455" s="242"/>
      <c r="L455" s="105"/>
    </row>
    <row r="456" spans="1:12" s="152" customFormat="1" ht="36" customHeight="1">
      <c r="A456" s="436"/>
      <c r="B456" s="327" t="s">
        <v>233</v>
      </c>
      <c r="C456" s="327" t="s">
        <v>676</v>
      </c>
      <c r="D456" s="327" t="s">
        <v>206</v>
      </c>
      <c r="E456" s="327" t="s">
        <v>54</v>
      </c>
      <c r="F456" s="327" t="s">
        <v>521</v>
      </c>
      <c r="G456" s="328">
        <f>G457</f>
        <v>51776.9</v>
      </c>
      <c r="H456" s="328">
        <f>H457</f>
        <v>0</v>
      </c>
      <c r="I456" s="328">
        <f>I457</f>
        <v>51776.9</v>
      </c>
      <c r="J456" s="247"/>
      <c r="K456" s="242"/>
      <c r="L456" s="105"/>
    </row>
    <row r="457" spans="1:12" s="152" customFormat="1" ht="36" customHeight="1">
      <c r="A457" s="48" t="s">
        <v>691</v>
      </c>
      <c r="B457" s="44"/>
      <c r="C457" s="44"/>
      <c r="D457" s="44"/>
      <c r="E457" s="44"/>
      <c r="F457" s="44"/>
      <c r="G457" s="87">
        <v>51776.9</v>
      </c>
      <c r="H457" s="87">
        <v>0</v>
      </c>
      <c r="I457" s="87">
        <f>G457-H457</f>
        <v>51776.9</v>
      </c>
      <c r="J457" s="247"/>
      <c r="K457" s="242"/>
      <c r="L457" s="105"/>
    </row>
    <row r="458" spans="1:12" s="152" customFormat="1" ht="36" customHeight="1">
      <c r="A458" s="436"/>
      <c r="B458" s="327" t="s">
        <v>233</v>
      </c>
      <c r="C458" s="327" t="s">
        <v>676</v>
      </c>
      <c r="D458" s="327" t="s">
        <v>206</v>
      </c>
      <c r="E458" s="327" t="s">
        <v>54</v>
      </c>
      <c r="F458" s="327" t="s">
        <v>500</v>
      </c>
      <c r="G458" s="328">
        <f>G459</f>
        <v>983761.01</v>
      </c>
      <c r="H458" s="328">
        <f>H459</f>
        <v>0</v>
      </c>
      <c r="I458" s="328">
        <f>I459</f>
        <v>983761.01</v>
      </c>
      <c r="J458" s="247"/>
      <c r="K458" s="242"/>
      <c r="L458" s="105"/>
    </row>
    <row r="459" spans="1:12" s="152" customFormat="1" ht="36" customHeight="1">
      <c r="A459" s="48" t="s">
        <v>691</v>
      </c>
      <c r="B459" s="44"/>
      <c r="C459" s="44"/>
      <c r="D459" s="44"/>
      <c r="E459" s="44"/>
      <c r="F459" s="44"/>
      <c r="G459" s="87">
        <v>983761.01</v>
      </c>
      <c r="H459" s="87"/>
      <c r="I459" s="87">
        <f>G459-H459</f>
        <v>983761.01</v>
      </c>
      <c r="J459" s="247"/>
      <c r="K459" s="242"/>
      <c r="L459" s="105"/>
    </row>
    <row r="460" spans="1:12" s="152" customFormat="1" ht="36" customHeight="1">
      <c r="A460" s="460"/>
      <c r="B460" s="327" t="s">
        <v>233</v>
      </c>
      <c r="C460" s="327" t="s">
        <v>572</v>
      </c>
      <c r="D460" s="327" t="s">
        <v>206</v>
      </c>
      <c r="E460" s="327" t="s">
        <v>70</v>
      </c>
      <c r="F460" s="327" t="s">
        <v>191</v>
      </c>
      <c r="G460" s="328">
        <f>G461</f>
        <v>165160</v>
      </c>
      <c r="H460" s="328">
        <f>H461</f>
        <v>165160</v>
      </c>
      <c r="I460" s="454"/>
      <c r="J460" s="247"/>
      <c r="K460" s="242"/>
      <c r="L460" s="105"/>
    </row>
    <row r="461" spans="1:12" s="152" customFormat="1" ht="36" customHeight="1">
      <c r="A461" s="48" t="s">
        <v>812</v>
      </c>
      <c r="B461" s="44"/>
      <c r="C461" s="44"/>
      <c r="D461" s="44"/>
      <c r="E461" s="44"/>
      <c r="F461" s="44" t="s">
        <v>663</v>
      </c>
      <c r="G461" s="87">
        <f>180280-15120</f>
        <v>165160</v>
      </c>
      <c r="H461" s="87">
        <f>180280-15120</f>
        <v>165160</v>
      </c>
      <c r="I461" s="87">
        <f>G461-H461</f>
        <v>0</v>
      </c>
      <c r="J461" s="247"/>
      <c r="K461" s="242"/>
      <c r="L461" s="105"/>
    </row>
    <row r="462" spans="1:12" s="152" customFormat="1" ht="36" customHeight="1">
      <c r="A462" s="460"/>
      <c r="B462" s="327" t="s">
        <v>233</v>
      </c>
      <c r="C462" s="327" t="s">
        <v>572</v>
      </c>
      <c r="D462" s="327" t="s">
        <v>206</v>
      </c>
      <c r="E462" s="327" t="s">
        <v>398</v>
      </c>
      <c r="F462" s="327" t="s">
        <v>193</v>
      </c>
      <c r="G462" s="454">
        <v>15120</v>
      </c>
      <c r="H462" s="454">
        <v>15120</v>
      </c>
      <c r="I462" s="454"/>
      <c r="J462" s="247"/>
      <c r="K462" s="242"/>
      <c r="L462" s="105"/>
    </row>
    <row r="463" spans="1:10" s="105" customFormat="1" ht="14.25" customHeight="1">
      <c r="A463" s="27" t="s">
        <v>319</v>
      </c>
      <c r="B463" s="28" t="s">
        <v>130</v>
      </c>
      <c r="C463" s="25"/>
      <c r="D463" s="25"/>
      <c r="E463" s="25"/>
      <c r="F463" s="25"/>
      <c r="G463" s="87"/>
      <c r="H463" s="87"/>
      <c r="I463" s="225"/>
      <c r="J463" s="364"/>
    </row>
    <row r="464" spans="1:10" s="105" customFormat="1" ht="50.25" customHeight="1">
      <c r="A464" s="311" t="s">
        <v>499</v>
      </c>
      <c r="B464" s="181" t="s">
        <v>130</v>
      </c>
      <c r="C464" s="181"/>
      <c r="D464" s="181"/>
      <c r="E464" s="181"/>
      <c r="F464" s="181"/>
      <c r="G464" s="180">
        <f>G470</f>
        <v>400000</v>
      </c>
      <c r="H464" s="180">
        <f>H470</f>
        <v>323778.6</v>
      </c>
      <c r="I464" s="180">
        <f>I470</f>
        <v>76221.40000000002</v>
      </c>
      <c r="J464" s="364"/>
    </row>
    <row r="465" spans="1:10" s="3" customFormat="1" ht="27.75" customHeight="1" hidden="1">
      <c r="A465" s="27" t="s">
        <v>23</v>
      </c>
      <c r="B465" s="33" t="s">
        <v>132</v>
      </c>
      <c r="C465" s="33"/>
      <c r="D465" s="33" t="s">
        <v>131</v>
      </c>
      <c r="E465" s="28" t="s">
        <v>24</v>
      </c>
      <c r="F465" s="28"/>
      <c r="G465" s="83"/>
      <c r="H465" s="83"/>
      <c r="I465" s="83"/>
      <c r="J465" s="382"/>
    </row>
    <row r="466" spans="1:10" s="3" customFormat="1" ht="21" customHeight="1" hidden="1">
      <c r="A466" s="53" t="s">
        <v>25</v>
      </c>
      <c r="B466" s="35" t="s">
        <v>132</v>
      </c>
      <c r="C466" s="35"/>
      <c r="D466" s="35" t="s">
        <v>131</v>
      </c>
      <c r="E466" s="42" t="s">
        <v>26</v>
      </c>
      <c r="F466" s="42"/>
      <c r="G466" s="83"/>
      <c r="H466" s="83"/>
      <c r="I466" s="83"/>
      <c r="J466" s="382"/>
    </row>
    <row r="467" spans="1:10" s="3" customFormat="1" ht="28.5" customHeight="1" hidden="1">
      <c r="A467" s="53" t="s">
        <v>27</v>
      </c>
      <c r="B467" s="35" t="s">
        <v>132</v>
      </c>
      <c r="C467" s="35"/>
      <c r="D467" s="35" t="s">
        <v>131</v>
      </c>
      <c r="E467" s="42" t="s">
        <v>28</v>
      </c>
      <c r="F467" s="42"/>
      <c r="G467" s="83"/>
      <c r="H467" s="83"/>
      <c r="I467" s="83"/>
      <c r="J467" s="382"/>
    </row>
    <row r="468" spans="1:10" s="3" customFormat="1" ht="30" customHeight="1" hidden="1">
      <c r="A468" s="37" t="s">
        <v>29</v>
      </c>
      <c r="B468" s="26"/>
      <c r="C468" s="26"/>
      <c r="D468" s="26"/>
      <c r="E468" s="26"/>
      <c r="F468" s="26" t="s">
        <v>19</v>
      </c>
      <c r="G468" s="83"/>
      <c r="H468" s="83"/>
      <c r="I468" s="83"/>
      <c r="J468" s="382"/>
    </row>
    <row r="469" spans="1:10" s="5" customFormat="1" ht="6.75" customHeight="1" hidden="1">
      <c r="A469" s="29"/>
      <c r="B469" s="25"/>
      <c r="C469" s="25"/>
      <c r="D469" s="25"/>
      <c r="E469" s="25"/>
      <c r="F469" s="25"/>
      <c r="G469" s="83"/>
      <c r="H469" s="83"/>
      <c r="I469" s="83"/>
      <c r="J469" s="237"/>
    </row>
    <row r="470" spans="1:10" s="5" customFormat="1" ht="51">
      <c r="A470" s="27" t="s">
        <v>320</v>
      </c>
      <c r="B470" s="28" t="s">
        <v>130</v>
      </c>
      <c r="C470" s="28"/>
      <c r="D470" s="28"/>
      <c r="E470" s="28"/>
      <c r="F470" s="28"/>
      <c r="G470" s="71">
        <f>G471</f>
        <v>400000</v>
      </c>
      <c r="H470" s="71">
        <f>H471</f>
        <v>323778.6</v>
      </c>
      <c r="I470" s="71">
        <f>I471</f>
        <v>76221.40000000002</v>
      </c>
      <c r="J470" s="237"/>
    </row>
    <row r="471" spans="1:10" s="5" customFormat="1" ht="51">
      <c r="A471" s="29" t="s">
        <v>550</v>
      </c>
      <c r="B471" s="25" t="s">
        <v>130</v>
      </c>
      <c r="C471" s="25" t="s">
        <v>574</v>
      </c>
      <c r="D471" s="25" t="s">
        <v>386</v>
      </c>
      <c r="E471" s="25" t="s">
        <v>125</v>
      </c>
      <c r="F471" s="25"/>
      <c r="G471" s="87">
        <f>195000+205000</f>
        <v>400000</v>
      </c>
      <c r="H471" s="83">
        <v>323778.6</v>
      </c>
      <c r="I471" s="83">
        <f>G471-H471</f>
        <v>76221.40000000002</v>
      </c>
      <c r="J471" s="237"/>
    </row>
    <row r="472" spans="1:10" s="5" customFormat="1" ht="41.25" customHeight="1">
      <c r="A472" s="311" t="s">
        <v>488</v>
      </c>
      <c r="B472" s="181" t="s">
        <v>130</v>
      </c>
      <c r="C472" s="181"/>
      <c r="D472" s="191"/>
      <c r="E472" s="191"/>
      <c r="F472" s="191"/>
      <c r="G472" s="180">
        <f aca="true" t="shared" si="22" ref="G472:I473">G473</f>
        <v>1372532.75</v>
      </c>
      <c r="H472" s="180">
        <f t="shared" si="22"/>
        <v>393666.68</v>
      </c>
      <c r="I472" s="180">
        <f t="shared" si="22"/>
        <v>978866.0700000001</v>
      </c>
      <c r="J472" s="237"/>
    </row>
    <row r="473" spans="1:10" s="5" customFormat="1" ht="25.5">
      <c r="A473" s="27" t="s">
        <v>321</v>
      </c>
      <c r="B473" s="28" t="s">
        <v>130</v>
      </c>
      <c r="C473" s="28"/>
      <c r="D473" s="28"/>
      <c r="E473" s="28"/>
      <c r="F473" s="28"/>
      <c r="G473" s="71">
        <f t="shared" si="22"/>
        <v>1372532.75</v>
      </c>
      <c r="H473" s="71">
        <f t="shared" si="22"/>
        <v>393666.68</v>
      </c>
      <c r="I473" s="71">
        <f t="shared" si="22"/>
        <v>978866.0700000001</v>
      </c>
      <c r="J473" s="237"/>
    </row>
    <row r="474" spans="1:10" s="5" customFormat="1" ht="38.25">
      <c r="A474" s="186" t="s">
        <v>297</v>
      </c>
      <c r="B474" s="28" t="s">
        <v>130</v>
      </c>
      <c r="C474" s="28"/>
      <c r="D474" s="28" t="s">
        <v>281</v>
      </c>
      <c r="E474" s="28"/>
      <c r="F474" s="28"/>
      <c r="G474" s="71">
        <f>G475+G476+G477</f>
        <v>1372532.75</v>
      </c>
      <c r="H474" s="71">
        <f>H475+H476+H477</f>
        <v>393666.68</v>
      </c>
      <c r="I474" s="71">
        <f>I475+I476+I477</f>
        <v>978866.0700000001</v>
      </c>
      <c r="J474" s="237"/>
    </row>
    <row r="475" spans="1:10" s="5" customFormat="1" ht="38.25">
      <c r="A475" s="29" t="s">
        <v>793</v>
      </c>
      <c r="B475" s="25" t="s">
        <v>130</v>
      </c>
      <c r="C475" s="25" t="s">
        <v>575</v>
      </c>
      <c r="D475" s="25" t="s">
        <v>206</v>
      </c>
      <c r="E475" s="25" t="s">
        <v>54</v>
      </c>
      <c r="F475" s="25" t="s">
        <v>188</v>
      </c>
      <c r="G475" s="83">
        <f>200000-11839+315000-186050+18173.3+58400</f>
        <v>393684.3</v>
      </c>
      <c r="H475" s="83">
        <f>183666.68+210000</f>
        <v>393666.68</v>
      </c>
      <c r="I475" s="83">
        <f>G475-H475</f>
        <v>17.619999999995343</v>
      </c>
      <c r="J475" s="247"/>
    </row>
    <row r="476" spans="1:10" s="5" customFormat="1" ht="38.25">
      <c r="A476" s="187" t="s">
        <v>693</v>
      </c>
      <c r="B476" s="25" t="s">
        <v>130</v>
      </c>
      <c r="C476" s="25" t="s">
        <v>679</v>
      </c>
      <c r="D476" s="25" t="s">
        <v>206</v>
      </c>
      <c r="E476" s="25" t="s">
        <v>54</v>
      </c>
      <c r="F476" s="25" t="s">
        <v>497</v>
      </c>
      <c r="G476" s="83">
        <v>72749.18</v>
      </c>
      <c r="H476" s="83">
        <v>0</v>
      </c>
      <c r="I476" s="83">
        <f>G476-H476</f>
        <v>72749.18</v>
      </c>
      <c r="J476" s="374"/>
    </row>
    <row r="477" spans="1:10" s="5" customFormat="1" ht="25.5">
      <c r="A477" s="187" t="s">
        <v>692</v>
      </c>
      <c r="B477" s="25" t="s">
        <v>130</v>
      </c>
      <c r="C477" s="25" t="s">
        <v>679</v>
      </c>
      <c r="D477" s="25" t="s">
        <v>206</v>
      </c>
      <c r="E477" s="25" t="s">
        <v>54</v>
      </c>
      <c r="F477" s="25" t="s">
        <v>500</v>
      </c>
      <c r="G477" s="83">
        <v>906099.27</v>
      </c>
      <c r="H477" s="83">
        <v>0</v>
      </c>
      <c r="I477" s="83">
        <f>G477-H477</f>
        <v>906099.27</v>
      </c>
      <c r="J477" s="247"/>
    </row>
    <row r="478" spans="1:10" s="9" customFormat="1" ht="12.75" hidden="1">
      <c r="A478" s="27" t="s">
        <v>133</v>
      </c>
      <c r="B478" s="28" t="s">
        <v>134</v>
      </c>
      <c r="C478" s="28" t="s">
        <v>14</v>
      </c>
      <c r="D478" s="28" t="s">
        <v>7</v>
      </c>
      <c r="E478" s="28"/>
      <c r="F478" s="28"/>
      <c r="G478" s="85"/>
      <c r="H478" s="85"/>
      <c r="I478" s="85"/>
      <c r="J478" s="373"/>
    </row>
    <row r="479" spans="1:10" s="13" customFormat="1" ht="25.5" hidden="1">
      <c r="A479" s="92" t="s">
        <v>135</v>
      </c>
      <c r="B479" s="65" t="s">
        <v>134</v>
      </c>
      <c r="C479" s="65" t="s">
        <v>136</v>
      </c>
      <c r="D479" s="65" t="s">
        <v>7</v>
      </c>
      <c r="E479" s="65"/>
      <c r="F479" s="65"/>
      <c r="G479" s="81"/>
      <c r="H479" s="81"/>
      <c r="I479" s="81"/>
      <c r="J479" s="391"/>
    </row>
    <row r="480" spans="1:10" s="9" customFormat="1" ht="12.75" hidden="1">
      <c r="A480" s="27" t="s">
        <v>137</v>
      </c>
      <c r="B480" s="28" t="s">
        <v>134</v>
      </c>
      <c r="C480" s="28" t="s">
        <v>136</v>
      </c>
      <c r="D480" s="28" t="s">
        <v>138</v>
      </c>
      <c r="E480" s="28"/>
      <c r="F480" s="28"/>
      <c r="G480" s="85"/>
      <c r="H480" s="85"/>
      <c r="I480" s="85"/>
      <c r="J480" s="373"/>
    </row>
    <row r="481" spans="1:10" s="9" customFormat="1" ht="51" hidden="1">
      <c r="A481" s="27" t="s">
        <v>139</v>
      </c>
      <c r="B481" s="28" t="s">
        <v>134</v>
      </c>
      <c r="C481" s="28" t="s">
        <v>136</v>
      </c>
      <c r="D481" s="28" t="s">
        <v>138</v>
      </c>
      <c r="E481" s="28" t="s">
        <v>140</v>
      </c>
      <c r="F481" s="28"/>
      <c r="G481" s="85"/>
      <c r="H481" s="85"/>
      <c r="I481" s="85"/>
      <c r="J481" s="373"/>
    </row>
    <row r="482" spans="1:10" s="5" customFormat="1" ht="63.75" hidden="1">
      <c r="A482" s="27" t="s">
        <v>141</v>
      </c>
      <c r="B482" s="28" t="s">
        <v>134</v>
      </c>
      <c r="C482" s="28" t="s">
        <v>136</v>
      </c>
      <c r="D482" s="28" t="s">
        <v>138</v>
      </c>
      <c r="E482" s="28" t="s">
        <v>142</v>
      </c>
      <c r="F482" s="28"/>
      <c r="G482" s="83"/>
      <c r="H482" s="83"/>
      <c r="I482" s="83"/>
      <c r="J482" s="237"/>
    </row>
    <row r="483" spans="1:10" s="9" customFormat="1" ht="12.75" hidden="1">
      <c r="A483" s="27" t="s">
        <v>60</v>
      </c>
      <c r="B483" s="28" t="s">
        <v>134</v>
      </c>
      <c r="C483" s="28" t="s">
        <v>136</v>
      </c>
      <c r="D483" s="28" t="s">
        <v>138</v>
      </c>
      <c r="E483" s="28" t="s">
        <v>61</v>
      </c>
      <c r="F483" s="28"/>
      <c r="G483" s="85"/>
      <c r="H483" s="85"/>
      <c r="I483" s="85"/>
      <c r="J483" s="373"/>
    </row>
    <row r="484" spans="1:10" s="5" customFormat="1" ht="25.5" hidden="1">
      <c r="A484" s="27" t="s">
        <v>62</v>
      </c>
      <c r="B484" s="28" t="s">
        <v>134</v>
      </c>
      <c r="C484" s="28" t="s">
        <v>136</v>
      </c>
      <c r="D484" s="28" t="s">
        <v>138</v>
      </c>
      <c r="E484" s="28" t="s">
        <v>63</v>
      </c>
      <c r="F484" s="28"/>
      <c r="G484" s="83"/>
      <c r="H484" s="83"/>
      <c r="I484" s="83"/>
      <c r="J484" s="237"/>
    </row>
    <row r="485" spans="1:10" s="5" customFormat="1" ht="38.25" hidden="1">
      <c r="A485" s="27" t="s">
        <v>143</v>
      </c>
      <c r="B485" s="28"/>
      <c r="C485" s="28"/>
      <c r="D485" s="28"/>
      <c r="E485" s="28"/>
      <c r="F485" s="28" t="s">
        <v>144</v>
      </c>
      <c r="G485" s="83"/>
      <c r="H485" s="83"/>
      <c r="I485" s="83"/>
      <c r="J485" s="237"/>
    </row>
    <row r="486" spans="1:10" s="9" customFormat="1" ht="63.75" hidden="1">
      <c r="A486" s="27" t="s">
        <v>145</v>
      </c>
      <c r="B486" s="28" t="s">
        <v>134</v>
      </c>
      <c r="C486" s="28" t="s">
        <v>136</v>
      </c>
      <c r="D486" s="28" t="s">
        <v>146</v>
      </c>
      <c r="E486" s="28"/>
      <c r="F486" s="28"/>
      <c r="G486" s="85"/>
      <c r="H486" s="85"/>
      <c r="I486" s="85"/>
      <c r="J486" s="373"/>
    </row>
    <row r="487" spans="1:10" s="9" customFormat="1" ht="51" hidden="1">
      <c r="A487" s="27" t="s">
        <v>139</v>
      </c>
      <c r="B487" s="28" t="s">
        <v>134</v>
      </c>
      <c r="C487" s="28" t="s">
        <v>136</v>
      </c>
      <c r="D487" s="28" t="s">
        <v>146</v>
      </c>
      <c r="E487" s="28" t="s">
        <v>140</v>
      </c>
      <c r="F487" s="28"/>
      <c r="G487" s="85"/>
      <c r="H487" s="85"/>
      <c r="I487" s="85"/>
      <c r="J487" s="373"/>
    </row>
    <row r="488" spans="1:10" s="5" customFormat="1" ht="63.75" hidden="1">
      <c r="A488" s="27" t="s">
        <v>141</v>
      </c>
      <c r="B488" s="28" t="s">
        <v>134</v>
      </c>
      <c r="C488" s="28" t="s">
        <v>136</v>
      </c>
      <c r="D488" s="28" t="s">
        <v>146</v>
      </c>
      <c r="E488" s="28" t="s">
        <v>142</v>
      </c>
      <c r="F488" s="28"/>
      <c r="G488" s="83"/>
      <c r="H488" s="83"/>
      <c r="I488" s="83"/>
      <c r="J488" s="237"/>
    </row>
    <row r="489" spans="1:10" s="5" customFormat="1" ht="12.75" hidden="1">
      <c r="A489" s="27"/>
      <c r="B489" s="28"/>
      <c r="C489" s="28"/>
      <c r="D489" s="28"/>
      <c r="E489" s="28"/>
      <c r="F489" s="28"/>
      <c r="G489" s="83"/>
      <c r="H489" s="83"/>
      <c r="I489" s="83"/>
      <c r="J489" s="237"/>
    </row>
    <row r="490" spans="1:10" s="124" customFormat="1" ht="32.25" customHeight="1" hidden="1">
      <c r="A490" s="126" t="s">
        <v>252</v>
      </c>
      <c r="B490" s="129" t="s">
        <v>134</v>
      </c>
      <c r="C490" s="129"/>
      <c r="D490" s="129" t="s">
        <v>253</v>
      </c>
      <c r="E490" s="129" t="s">
        <v>43</v>
      </c>
      <c r="F490" s="129" t="s">
        <v>182</v>
      </c>
      <c r="G490" s="101"/>
      <c r="H490" s="101"/>
      <c r="I490" s="101"/>
      <c r="J490" s="237"/>
    </row>
    <row r="491" spans="1:10" s="124" customFormat="1" ht="18" customHeight="1" hidden="1">
      <c r="A491" s="126" t="s">
        <v>254</v>
      </c>
      <c r="B491" s="129" t="s">
        <v>134</v>
      </c>
      <c r="C491" s="129"/>
      <c r="D491" s="129" t="s">
        <v>255</v>
      </c>
      <c r="E491" s="129" t="s">
        <v>125</v>
      </c>
      <c r="F491" s="129"/>
      <c r="G491" s="101"/>
      <c r="H491" s="101"/>
      <c r="I491" s="101"/>
      <c r="J491" s="237"/>
    </row>
    <row r="492" spans="1:10" s="124" customFormat="1" ht="30.75" customHeight="1" hidden="1">
      <c r="A492" s="126" t="s">
        <v>256</v>
      </c>
      <c r="B492" s="129" t="s">
        <v>134</v>
      </c>
      <c r="C492" s="129"/>
      <c r="D492" s="129" t="s">
        <v>206</v>
      </c>
      <c r="E492" s="129" t="s">
        <v>54</v>
      </c>
      <c r="F492" s="129" t="s">
        <v>188</v>
      </c>
      <c r="G492" s="101"/>
      <c r="H492" s="101"/>
      <c r="I492" s="101"/>
      <c r="J492" s="237"/>
    </row>
    <row r="493" spans="1:10" s="124" customFormat="1" ht="33" customHeight="1" hidden="1">
      <c r="A493" s="315" t="s">
        <v>257</v>
      </c>
      <c r="B493" s="316" t="s">
        <v>134</v>
      </c>
      <c r="C493" s="316"/>
      <c r="D493" s="316" t="s">
        <v>206</v>
      </c>
      <c r="E493" s="316" t="s">
        <v>70</v>
      </c>
      <c r="F493" s="316" t="s">
        <v>191</v>
      </c>
      <c r="G493" s="317"/>
      <c r="H493" s="317"/>
      <c r="I493" s="317"/>
      <c r="J493" s="237"/>
    </row>
    <row r="494" spans="1:10" s="14" customFormat="1" ht="33" customHeight="1">
      <c r="A494" s="324" t="s">
        <v>501</v>
      </c>
      <c r="B494" s="231" t="s">
        <v>134</v>
      </c>
      <c r="C494" s="231"/>
      <c r="D494" s="231"/>
      <c r="E494" s="231"/>
      <c r="F494" s="231"/>
      <c r="G494" s="232">
        <f>G495+G501+G506</f>
        <v>5960891.41</v>
      </c>
      <c r="H494" s="232">
        <f>H495+H501+H506</f>
        <v>4895000.720000001</v>
      </c>
      <c r="I494" s="232">
        <f>I495+I501+I506</f>
        <v>1065890.69</v>
      </c>
      <c r="J494" s="237"/>
    </row>
    <row r="495" spans="1:9" s="237" customFormat="1" ht="33" customHeight="1">
      <c r="A495" s="323" t="s">
        <v>230</v>
      </c>
      <c r="B495" s="321" t="s">
        <v>134</v>
      </c>
      <c r="C495" s="318"/>
      <c r="D495" s="321"/>
      <c r="E495" s="321"/>
      <c r="F495" s="321"/>
      <c r="G495" s="322">
        <f>G496+G498+G497+G499</f>
        <v>2572135.5100000002</v>
      </c>
      <c r="H495" s="322">
        <f>H496+H498+H497+H499</f>
        <v>1592807.27</v>
      </c>
      <c r="I495" s="322">
        <f>I496+I498+I497+I499</f>
        <v>979328.2400000001</v>
      </c>
    </row>
    <row r="496" spans="1:10" s="138" customFormat="1" ht="26.25" customHeight="1">
      <c r="A496" s="187" t="s">
        <v>322</v>
      </c>
      <c r="B496" s="136" t="s">
        <v>134</v>
      </c>
      <c r="C496" s="136" t="s">
        <v>382</v>
      </c>
      <c r="D496" s="136" t="s">
        <v>206</v>
      </c>
      <c r="E496" s="136" t="s">
        <v>43</v>
      </c>
      <c r="F496" s="136" t="s">
        <v>182</v>
      </c>
      <c r="G496" s="87">
        <v>1285856.5</v>
      </c>
      <c r="H496" s="137">
        <v>1253471.78</v>
      </c>
      <c r="I496" s="154">
        <f>G496-H496</f>
        <v>32384.719999999972</v>
      </c>
      <c r="J496" s="297"/>
    </row>
    <row r="497" spans="1:10" s="138" customFormat="1" ht="26.25" customHeight="1">
      <c r="A497" s="356" t="s">
        <v>767</v>
      </c>
      <c r="B497" s="136" t="s">
        <v>134</v>
      </c>
      <c r="C497" s="136" t="s">
        <v>300</v>
      </c>
      <c r="D497" s="136" t="s">
        <v>206</v>
      </c>
      <c r="E497" s="136" t="s">
        <v>43</v>
      </c>
      <c r="F497" s="136" t="s">
        <v>181</v>
      </c>
      <c r="G497" s="87">
        <f>14291+1909.43</f>
        <v>16200.43</v>
      </c>
      <c r="H497" s="137">
        <v>16200.25</v>
      </c>
      <c r="I497" s="83">
        <f>G497-H497</f>
        <v>0.18000000000029104</v>
      </c>
      <c r="J497" s="297"/>
    </row>
    <row r="498" spans="1:10" s="138" customFormat="1" ht="26.25" customHeight="1">
      <c r="A498" s="356" t="s">
        <v>545</v>
      </c>
      <c r="B498" s="136" t="s">
        <v>134</v>
      </c>
      <c r="C498" s="136" t="s">
        <v>300</v>
      </c>
      <c r="D498" s="136" t="s">
        <v>206</v>
      </c>
      <c r="E498" s="136" t="s">
        <v>54</v>
      </c>
      <c r="F498" s="136" t="s">
        <v>188</v>
      </c>
      <c r="G498" s="87">
        <f>320972.01+965307-14291-6542.94</f>
        <v>1265445.07</v>
      </c>
      <c r="H498" s="137">
        <v>318501.73</v>
      </c>
      <c r="I498" s="83">
        <f>G498-H498</f>
        <v>946943.3400000001</v>
      </c>
      <c r="J498" s="297"/>
    </row>
    <row r="499" spans="1:10" s="138" customFormat="1" ht="26.25" customHeight="1">
      <c r="A499" s="356" t="s">
        <v>767</v>
      </c>
      <c r="B499" s="136" t="s">
        <v>134</v>
      </c>
      <c r="C499" s="136" t="s">
        <v>300</v>
      </c>
      <c r="D499" s="136" t="s">
        <v>206</v>
      </c>
      <c r="E499" s="136" t="s">
        <v>43</v>
      </c>
      <c r="F499" s="136" t="s">
        <v>184</v>
      </c>
      <c r="G499" s="87">
        <v>4633.51</v>
      </c>
      <c r="H499" s="137">
        <v>4633.51</v>
      </c>
      <c r="I499" s="83">
        <f>G499-H499</f>
        <v>0</v>
      </c>
      <c r="J499" s="297"/>
    </row>
    <row r="500" spans="1:10" s="138" customFormat="1" ht="26.25" customHeight="1">
      <c r="A500" s="323" t="s">
        <v>231</v>
      </c>
      <c r="B500" s="136"/>
      <c r="C500" s="136"/>
      <c r="D500" s="136"/>
      <c r="E500" s="136"/>
      <c r="F500" s="136"/>
      <c r="G500" s="87"/>
      <c r="H500" s="137"/>
      <c r="I500" s="154"/>
      <c r="J500" s="297"/>
    </row>
    <row r="501" spans="1:10" s="138" customFormat="1" ht="60" customHeight="1">
      <c r="A501" s="311" t="s">
        <v>503</v>
      </c>
      <c r="B501" s="455" t="s">
        <v>134</v>
      </c>
      <c r="C501" s="456"/>
      <c r="D501" s="456"/>
      <c r="E501" s="456"/>
      <c r="F501" s="456"/>
      <c r="G501" s="457">
        <f>G503+G504+G505+G502</f>
        <v>1023255.9</v>
      </c>
      <c r="H501" s="457">
        <f>H503+H504+H505+H502</f>
        <v>969400</v>
      </c>
      <c r="I501" s="457">
        <f>I503+I504+I505+I502</f>
        <v>53855.90000000002</v>
      </c>
      <c r="J501" s="364"/>
    </row>
    <row r="502" spans="1:20" s="221" customFormat="1" ht="36" customHeight="1">
      <c r="A502" s="345" t="s">
        <v>775</v>
      </c>
      <c r="B502" s="351" t="s">
        <v>134</v>
      </c>
      <c r="C502" s="358" t="s">
        <v>578</v>
      </c>
      <c r="D502" s="351" t="s">
        <v>206</v>
      </c>
      <c r="E502" s="44" t="s">
        <v>43</v>
      </c>
      <c r="F502" s="44" t="s">
        <v>184</v>
      </c>
      <c r="G502" s="87">
        <v>236220</v>
      </c>
      <c r="H502" s="87">
        <v>229400</v>
      </c>
      <c r="I502" s="474">
        <f>G502-H502</f>
        <v>6820</v>
      </c>
      <c r="J502" s="475"/>
      <c r="K502" s="412"/>
      <c r="L502" s="412"/>
      <c r="M502" s="412"/>
      <c r="N502" s="412"/>
      <c r="O502" s="412"/>
      <c r="P502" s="412"/>
      <c r="Q502" s="412"/>
      <c r="R502" s="412"/>
      <c r="S502" s="412"/>
      <c r="T502" s="411"/>
    </row>
    <row r="503" spans="1:10" s="14" customFormat="1" ht="34.5" customHeight="1">
      <c r="A503" s="458" t="s">
        <v>538</v>
      </c>
      <c r="B503" s="351" t="s">
        <v>134</v>
      </c>
      <c r="C503" s="358" t="s">
        <v>578</v>
      </c>
      <c r="D503" s="351" t="s">
        <v>206</v>
      </c>
      <c r="E503" s="351" t="s">
        <v>54</v>
      </c>
      <c r="F503" s="358" t="s">
        <v>188</v>
      </c>
      <c r="G503" s="429">
        <v>787035.9</v>
      </c>
      <c r="H503" s="429">
        <v>740000</v>
      </c>
      <c r="I503" s="352">
        <f>G503-H503</f>
        <v>47035.90000000002</v>
      </c>
      <c r="J503" s="247"/>
    </row>
    <row r="504" spans="1:11" s="14" customFormat="1" ht="31.5" customHeight="1" hidden="1">
      <c r="A504" s="345" t="s">
        <v>694</v>
      </c>
      <c r="B504" s="44" t="s">
        <v>134</v>
      </c>
      <c r="C504" s="25" t="s">
        <v>578</v>
      </c>
      <c r="D504" s="44" t="s">
        <v>206</v>
      </c>
      <c r="E504" s="44" t="s">
        <v>54</v>
      </c>
      <c r="F504" s="25" t="s">
        <v>188</v>
      </c>
      <c r="G504" s="87">
        <v>0</v>
      </c>
      <c r="H504" s="87"/>
      <c r="I504" s="83">
        <f>G504-H504</f>
        <v>0</v>
      </c>
      <c r="J504" s="247"/>
      <c r="K504" s="243"/>
    </row>
    <row r="505" spans="1:11" s="14" customFormat="1" ht="31.5" customHeight="1" hidden="1">
      <c r="A505" s="345" t="s">
        <v>53</v>
      </c>
      <c r="B505" s="44" t="s">
        <v>134</v>
      </c>
      <c r="C505" s="25" t="s">
        <v>578</v>
      </c>
      <c r="D505" s="44" t="s">
        <v>206</v>
      </c>
      <c r="E505" s="44" t="s">
        <v>54</v>
      </c>
      <c r="F505" s="25" t="s">
        <v>188</v>
      </c>
      <c r="G505" s="87">
        <v>0</v>
      </c>
      <c r="H505" s="87"/>
      <c r="I505" s="83">
        <f>G505-H505</f>
        <v>0</v>
      </c>
      <c r="J505" s="247"/>
      <c r="K505" s="243"/>
    </row>
    <row r="506" spans="1:10" s="14" customFormat="1" ht="60" customHeight="1">
      <c r="A506" s="311" t="s">
        <v>513</v>
      </c>
      <c r="B506" s="254" t="s">
        <v>134</v>
      </c>
      <c r="C506" s="254"/>
      <c r="D506" s="254"/>
      <c r="E506" s="254"/>
      <c r="F506" s="254"/>
      <c r="G506" s="255">
        <f>G507+G509+G510+G511+G508</f>
        <v>2365500</v>
      </c>
      <c r="H506" s="255">
        <f>H507+H509+H510+H511+H508</f>
        <v>2332793.45</v>
      </c>
      <c r="I506" s="255">
        <f>I507+I509+I510+I511+I508</f>
        <v>32706.5499999999</v>
      </c>
      <c r="J506" s="297"/>
    </row>
    <row r="507" spans="1:10" s="14" customFormat="1" ht="35.25" customHeight="1">
      <c r="A507" s="345" t="s">
        <v>556</v>
      </c>
      <c r="B507" s="44" t="s">
        <v>134</v>
      </c>
      <c r="C507" s="25" t="s">
        <v>577</v>
      </c>
      <c r="D507" s="44" t="s">
        <v>206</v>
      </c>
      <c r="E507" s="44" t="s">
        <v>43</v>
      </c>
      <c r="F507" s="25" t="s">
        <v>182</v>
      </c>
      <c r="G507" s="87">
        <f>1700000-30000+665500-150153-1347-35000-1160-40544</f>
        <v>2107296</v>
      </c>
      <c r="H507" s="87">
        <v>2079059.6</v>
      </c>
      <c r="I507" s="83">
        <f>G507-H507</f>
        <v>28236.399999999907</v>
      </c>
      <c r="J507" s="297"/>
    </row>
    <row r="508" spans="1:10" s="14" customFormat="1" ht="35.25" customHeight="1">
      <c r="A508" s="345" t="s">
        <v>840</v>
      </c>
      <c r="B508" s="44" t="s">
        <v>134</v>
      </c>
      <c r="C508" s="25" t="s">
        <v>866</v>
      </c>
      <c r="D508" s="44" t="s">
        <v>206</v>
      </c>
      <c r="E508" s="44" t="s">
        <v>43</v>
      </c>
      <c r="F508" s="25" t="s">
        <v>181</v>
      </c>
      <c r="G508" s="87">
        <f>35000+1160+76704-36160</f>
        <v>76704</v>
      </c>
      <c r="H508" s="87">
        <v>73733.85</v>
      </c>
      <c r="I508" s="83">
        <f>G508-H508</f>
        <v>2970.149999999994</v>
      </c>
      <c r="J508" s="297"/>
    </row>
    <row r="509" spans="1:10" s="14" customFormat="1" ht="35.25" customHeight="1">
      <c r="A509" s="345" t="s">
        <v>641</v>
      </c>
      <c r="B509" s="44" t="s">
        <v>134</v>
      </c>
      <c r="C509" s="471" t="s">
        <v>642</v>
      </c>
      <c r="D509" s="44" t="s">
        <v>206</v>
      </c>
      <c r="E509" s="44" t="s">
        <v>54</v>
      </c>
      <c r="F509" s="25" t="s">
        <v>188</v>
      </c>
      <c r="G509" s="87">
        <v>30000</v>
      </c>
      <c r="H509" s="87">
        <v>30000</v>
      </c>
      <c r="I509" s="83">
        <f>G509-H509</f>
        <v>0</v>
      </c>
      <c r="J509" s="297"/>
    </row>
    <row r="510" spans="1:10" s="14" customFormat="1" ht="35.25" customHeight="1">
      <c r="A510" s="345" t="s">
        <v>739</v>
      </c>
      <c r="B510" s="44" t="s">
        <v>134</v>
      </c>
      <c r="C510" s="25" t="s">
        <v>577</v>
      </c>
      <c r="D510" s="44" t="s">
        <v>206</v>
      </c>
      <c r="E510" s="44" t="s">
        <v>70</v>
      </c>
      <c r="F510" s="25" t="s">
        <v>191</v>
      </c>
      <c r="G510" s="87">
        <f>39191-39191</f>
        <v>0</v>
      </c>
      <c r="H510" s="87"/>
      <c r="I510" s="83">
        <f>G510-H510</f>
        <v>0</v>
      </c>
      <c r="J510" s="297"/>
    </row>
    <row r="511" spans="1:10" s="14" customFormat="1" ht="35.25" customHeight="1">
      <c r="A511" s="345" t="s">
        <v>740</v>
      </c>
      <c r="B511" s="44" t="s">
        <v>134</v>
      </c>
      <c r="C511" s="25" t="s">
        <v>577</v>
      </c>
      <c r="D511" s="44" t="s">
        <v>206</v>
      </c>
      <c r="E511" s="44" t="s">
        <v>412</v>
      </c>
      <c r="F511" s="25" t="s">
        <v>258</v>
      </c>
      <c r="G511" s="87">
        <v>151500</v>
      </c>
      <c r="H511" s="87">
        <v>150000</v>
      </c>
      <c r="I511" s="83">
        <f>G511-H511</f>
        <v>1500</v>
      </c>
      <c r="J511" s="297"/>
    </row>
    <row r="512" spans="1:10" s="138" customFormat="1" ht="26.25" customHeight="1">
      <c r="A512" s="344" t="s">
        <v>536</v>
      </c>
      <c r="B512" s="231" t="s">
        <v>537</v>
      </c>
      <c r="C512" s="231"/>
      <c r="D512" s="231"/>
      <c r="E512" s="231"/>
      <c r="F512" s="231"/>
      <c r="G512" s="232">
        <f>G513+G532+G533</f>
        <v>18551475</v>
      </c>
      <c r="H512" s="232">
        <f>H513+H532+H533</f>
        <v>17520045</v>
      </c>
      <c r="I512" s="232">
        <f>I513+I532+I533</f>
        <v>3392387</v>
      </c>
      <c r="J512" s="297"/>
    </row>
    <row r="513" spans="1:10" s="14" customFormat="1" ht="48.75" customHeight="1">
      <c r="A513" s="329" t="s">
        <v>503</v>
      </c>
      <c r="B513" s="181" t="s">
        <v>537</v>
      </c>
      <c r="C513" s="254"/>
      <c r="D513" s="310"/>
      <c r="E513" s="310"/>
      <c r="F513" s="310"/>
      <c r="G513" s="255">
        <f>G514+G515+G516+G517+G524+G525+G526</f>
        <v>17487475</v>
      </c>
      <c r="H513" s="255">
        <f>H514+H515+H516+H517+H524+H525+H526</f>
        <v>16466045</v>
      </c>
      <c r="I513" s="255">
        <f>I514+I515+I516+I517+I524+I525+I526</f>
        <v>3382387</v>
      </c>
      <c r="J513" s="105"/>
    </row>
    <row r="514" spans="1:10" s="138" customFormat="1" ht="65.25" customHeight="1">
      <c r="A514" s="335" t="s">
        <v>579</v>
      </c>
      <c r="B514" s="136" t="s">
        <v>537</v>
      </c>
      <c r="C514" s="25" t="s">
        <v>764</v>
      </c>
      <c r="D514" s="136" t="s">
        <v>680</v>
      </c>
      <c r="E514" s="136" t="s">
        <v>681</v>
      </c>
      <c r="F514" s="136"/>
      <c r="G514" s="87">
        <v>6000000</v>
      </c>
      <c r="H514" s="137">
        <v>5968570</v>
      </c>
      <c r="I514" s="83">
        <f>G514-H514</f>
        <v>31430</v>
      </c>
      <c r="J514" s="297"/>
    </row>
    <row r="515" spans="1:10" s="138" customFormat="1" ht="53.25" customHeight="1">
      <c r="A515" s="335" t="s">
        <v>682</v>
      </c>
      <c r="B515" s="136" t="s">
        <v>537</v>
      </c>
      <c r="C515" s="25" t="s">
        <v>764</v>
      </c>
      <c r="D515" s="136" t="s">
        <v>680</v>
      </c>
      <c r="E515" s="136" t="s">
        <v>681</v>
      </c>
      <c r="F515" s="136" t="s">
        <v>521</v>
      </c>
      <c r="G515" s="87">
        <v>6500000</v>
      </c>
      <c r="H515" s="137">
        <f>6000000+500000</f>
        <v>6500000</v>
      </c>
      <c r="I515" s="83">
        <f>G515-H515</f>
        <v>0</v>
      </c>
      <c r="J515" s="297"/>
    </row>
    <row r="516" spans="1:10" s="138" customFormat="1" ht="40.5" customHeight="1">
      <c r="A516" s="335" t="s">
        <v>696</v>
      </c>
      <c r="B516" s="136" t="s">
        <v>537</v>
      </c>
      <c r="C516" s="44" t="s">
        <v>580</v>
      </c>
      <c r="D516" s="136" t="s">
        <v>206</v>
      </c>
      <c r="E516" s="44" t="s">
        <v>43</v>
      </c>
      <c r="F516" s="44" t="s">
        <v>182</v>
      </c>
      <c r="G516" s="87">
        <v>860000</v>
      </c>
      <c r="H516" s="87">
        <v>860000</v>
      </c>
      <c r="I516" s="83">
        <f>G516-H516</f>
        <v>0</v>
      </c>
      <c r="J516" s="297"/>
    </row>
    <row r="517" spans="1:10" s="138" customFormat="1" ht="40.5" customHeight="1">
      <c r="A517" s="469" t="s">
        <v>855</v>
      </c>
      <c r="B517" s="327" t="s">
        <v>537</v>
      </c>
      <c r="C517" s="327" t="s">
        <v>580</v>
      </c>
      <c r="D517" s="327" t="s">
        <v>206</v>
      </c>
      <c r="E517" s="327" t="s">
        <v>54</v>
      </c>
      <c r="F517" s="327" t="s">
        <v>188</v>
      </c>
      <c r="G517" s="328">
        <f>G518+G519+G520+G521+G522+G523</f>
        <v>2625000</v>
      </c>
      <c r="H517" s="328">
        <v>2235000</v>
      </c>
      <c r="I517" s="328">
        <f>I518+I519+I520+I521+I522+I523</f>
        <v>2625000</v>
      </c>
      <c r="J517" s="297"/>
    </row>
    <row r="518" spans="1:10" s="138" customFormat="1" ht="48.75" customHeight="1" hidden="1">
      <c r="A518" s="468" t="s">
        <v>554</v>
      </c>
      <c r="B518" s="204"/>
      <c r="C518" s="46"/>
      <c r="D518" s="204"/>
      <c r="E518" s="204"/>
      <c r="F518" s="204"/>
      <c r="G518" s="268">
        <v>96000</v>
      </c>
      <c r="H518" s="268"/>
      <c r="I518" s="82">
        <f aca="true" t="shared" si="23" ref="I518:I528">G518-H518</f>
        <v>96000</v>
      </c>
      <c r="J518" s="297"/>
    </row>
    <row r="519" spans="1:10" s="138" customFormat="1" ht="48.75" customHeight="1" hidden="1">
      <c r="A519" s="468" t="s">
        <v>695</v>
      </c>
      <c r="B519" s="204"/>
      <c r="C519" s="46"/>
      <c r="D519" s="204"/>
      <c r="E519" s="204"/>
      <c r="F519" s="204"/>
      <c r="G519" s="268">
        <v>1860000</v>
      </c>
      <c r="H519" s="268"/>
      <c r="I519" s="82">
        <f t="shared" si="23"/>
        <v>1860000</v>
      </c>
      <c r="J519" s="297"/>
    </row>
    <row r="520" spans="1:10" s="138" customFormat="1" ht="48.75" customHeight="1" hidden="1">
      <c r="A520" s="468" t="s">
        <v>830</v>
      </c>
      <c r="B520" s="204"/>
      <c r="C520" s="46"/>
      <c r="D520" s="204"/>
      <c r="E520" s="204"/>
      <c r="F520" s="204"/>
      <c r="G520" s="268">
        <v>279000</v>
      </c>
      <c r="H520" s="343"/>
      <c r="I520" s="82">
        <f>G520-H520</f>
        <v>279000</v>
      </c>
      <c r="J520" s="297"/>
    </row>
    <row r="521" spans="1:10" s="138" customFormat="1" ht="48.75" customHeight="1" hidden="1">
      <c r="A521" s="468" t="s">
        <v>781</v>
      </c>
      <c r="B521" s="204"/>
      <c r="C521" s="46"/>
      <c r="D521" s="204"/>
      <c r="E521" s="204"/>
      <c r="F521" s="204"/>
      <c r="G521" s="268">
        <f>698500-250000-12000-279000-5378-152122</f>
        <v>0</v>
      </c>
      <c r="H521" s="343"/>
      <c r="I521" s="82">
        <f t="shared" si="23"/>
        <v>0</v>
      </c>
      <c r="J521" s="297"/>
    </row>
    <row r="522" spans="1:10" s="138" customFormat="1" ht="48.75" customHeight="1" hidden="1">
      <c r="A522" s="468" t="s">
        <v>856</v>
      </c>
      <c r="B522" s="204"/>
      <c r="C522" s="46"/>
      <c r="D522" s="204"/>
      <c r="E522" s="204"/>
      <c r="F522" s="204"/>
      <c r="G522" s="268">
        <v>250000</v>
      </c>
      <c r="H522" s="343"/>
      <c r="I522" s="82">
        <f t="shared" si="23"/>
        <v>250000</v>
      </c>
      <c r="J522" s="297"/>
    </row>
    <row r="523" spans="1:10" s="138" customFormat="1" ht="48.75" customHeight="1" hidden="1">
      <c r="A523" s="468" t="s">
        <v>857</v>
      </c>
      <c r="B523" s="204"/>
      <c r="C523" s="46"/>
      <c r="D523" s="204"/>
      <c r="E523" s="204"/>
      <c r="F523" s="204"/>
      <c r="G523" s="268">
        <v>140000</v>
      </c>
      <c r="H523" s="343"/>
      <c r="I523" s="82">
        <f t="shared" si="23"/>
        <v>140000</v>
      </c>
      <c r="J523" s="297"/>
    </row>
    <row r="524" spans="1:10" s="138" customFormat="1" ht="48.75" customHeight="1">
      <c r="A524" s="467" t="s">
        <v>813</v>
      </c>
      <c r="B524" s="185" t="s">
        <v>537</v>
      </c>
      <c r="C524" s="36" t="s">
        <v>580</v>
      </c>
      <c r="D524" s="185" t="s">
        <v>206</v>
      </c>
      <c r="E524" s="185" t="s">
        <v>54</v>
      </c>
      <c r="F524" s="185" t="s">
        <v>362</v>
      </c>
      <c r="G524" s="87">
        <f>250000+12000-12000</f>
        <v>250000</v>
      </c>
      <c r="H524" s="137">
        <v>250000</v>
      </c>
      <c r="I524" s="83">
        <f t="shared" si="23"/>
        <v>0</v>
      </c>
      <c r="J524" s="247"/>
    </row>
    <row r="525" spans="1:10" s="138" customFormat="1" ht="48.75" customHeight="1">
      <c r="A525" s="467" t="s">
        <v>846</v>
      </c>
      <c r="B525" s="185" t="s">
        <v>537</v>
      </c>
      <c r="C525" s="36" t="s">
        <v>580</v>
      </c>
      <c r="D525" s="185" t="s">
        <v>206</v>
      </c>
      <c r="E525" s="185" t="s">
        <v>70</v>
      </c>
      <c r="F525" s="185" t="s">
        <v>191</v>
      </c>
      <c r="G525" s="87">
        <f>360031.9+44800+121686.1</f>
        <v>526518</v>
      </c>
      <c r="H525" s="137">
        <v>526518</v>
      </c>
      <c r="I525" s="83">
        <f t="shared" si="23"/>
        <v>0</v>
      </c>
      <c r="J525" s="247"/>
    </row>
    <row r="526" spans="1:10" s="138" customFormat="1" ht="48.75" customHeight="1">
      <c r="A526" s="469" t="s">
        <v>854</v>
      </c>
      <c r="B526" s="327" t="s">
        <v>537</v>
      </c>
      <c r="C526" s="327" t="s">
        <v>580</v>
      </c>
      <c r="D526" s="327" t="s">
        <v>206</v>
      </c>
      <c r="E526" s="327" t="s">
        <v>398</v>
      </c>
      <c r="F526" s="327" t="s">
        <v>193</v>
      </c>
      <c r="G526" s="328">
        <f>G527+G528+G529+G530</f>
        <v>725957</v>
      </c>
      <c r="H526" s="328">
        <v>125957</v>
      </c>
      <c r="I526" s="328">
        <f>I527+I528+I529+I530</f>
        <v>725957</v>
      </c>
      <c r="J526" s="247"/>
    </row>
    <row r="527" spans="1:10" s="138" customFormat="1" ht="48.75" customHeight="1" hidden="1">
      <c r="A527" s="468" t="s">
        <v>776</v>
      </c>
      <c r="B527" s="136"/>
      <c r="C527" s="44"/>
      <c r="D527" s="136"/>
      <c r="E527" s="136"/>
      <c r="F527" s="136"/>
      <c r="G527" s="87">
        <f>48599-27422</f>
        <v>21177</v>
      </c>
      <c r="H527" s="87"/>
      <c r="I527" s="83">
        <f t="shared" si="23"/>
        <v>21177</v>
      </c>
      <c r="J527" s="297"/>
    </row>
    <row r="528" spans="1:10" s="138" customFormat="1" ht="48.75" customHeight="1" hidden="1">
      <c r="A528" s="468" t="s">
        <v>834</v>
      </c>
      <c r="B528" s="136"/>
      <c r="C528" s="44"/>
      <c r="D528" s="136"/>
      <c r="E528" s="136"/>
      <c r="F528" s="136"/>
      <c r="G528" s="87">
        <f>27422+12000+5378</f>
        <v>44800</v>
      </c>
      <c r="H528" s="87"/>
      <c r="I528" s="83">
        <f t="shared" si="23"/>
        <v>44800</v>
      </c>
      <c r="J528" s="297"/>
    </row>
    <row r="529" spans="1:10" s="138" customFormat="1" ht="45.75" customHeight="1" hidden="1">
      <c r="A529" s="422" t="s">
        <v>836</v>
      </c>
      <c r="B529" s="136"/>
      <c r="C529" s="44"/>
      <c r="D529" s="136"/>
      <c r="E529" s="136"/>
      <c r="F529" s="136"/>
      <c r="G529" s="87">
        <v>600000</v>
      </c>
      <c r="H529" s="87"/>
      <c r="I529" s="83">
        <f>G529-H529</f>
        <v>600000</v>
      </c>
      <c r="J529" s="297"/>
    </row>
    <row r="530" spans="1:10" s="138" customFormat="1" ht="45.75" customHeight="1" hidden="1">
      <c r="A530" s="338" t="s">
        <v>858</v>
      </c>
      <c r="B530" s="136"/>
      <c r="C530" s="44"/>
      <c r="D530" s="136"/>
      <c r="E530" s="136"/>
      <c r="F530" s="136"/>
      <c r="G530" s="87">
        <f>30435.9+29544.1</f>
        <v>59980</v>
      </c>
      <c r="H530" s="87"/>
      <c r="I530" s="83">
        <f>G530-H530</f>
        <v>59980</v>
      </c>
      <c r="J530" s="297"/>
    </row>
    <row r="531" spans="1:10" s="138" customFormat="1" ht="41.25" customHeight="1">
      <c r="A531" s="323" t="s">
        <v>230</v>
      </c>
      <c r="B531" s="136"/>
      <c r="C531" s="44"/>
      <c r="D531" s="136"/>
      <c r="E531" s="136"/>
      <c r="F531" s="136"/>
      <c r="G531" s="87"/>
      <c r="H531" s="87"/>
      <c r="I531" s="83"/>
      <c r="J531" s="297"/>
    </row>
    <row r="532" spans="1:10" s="138" customFormat="1" ht="53.25" customHeight="1">
      <c r="A532" s="440" t="s">
        <v>684</v>
      </c>
      <c r="B532" s="136" t="s">
        <v>537</v>
      </c>
      <c r="C532" s="136" t="s">
        <v>683</v>
      </c>
      <c r="D532" s="136" t="s">
        <v>206</v>
      </c>
      <c r="E532" s="136" t="s">
        <v>54</v>
      </c>
      <c r="F532" s="136" t="s">
        <v>188</v>
      </c>
      <c r="G532" s="87">
        <f>951109-387109</f>
        <v>564000</v>
      </c>
      <c r="H532" s="137">
        <v>564000</v>
      </c>
      <c r="I532" s="83">
        <f>G532-H532</f>
        <v>0</v>
      </c>
      <c r="J532" s="247"/>
    </row>
    <row r="533" spans="1:10" s="138" customFormat="1" ht="53.25" customHeight="1">
      <c r="A533" s="440" t="s">
        <v>766</v>
      </c>
      <c r="B533" s="136" t="s">
        <v>537</v>
      </c>
      <c r="C533" s="136" t="s">
        <v>683</v>
      </c>
      <c r="D533" s="136" t="s">
        <v>206</v>
      </c>
      <c r="E533" s="136" t="s">
        <v>54</v>
      </c>
      <c r="F533" s="136" t="s">
        <v>362</v>
      </c>
      <c r="G533" s="87">
        <v>500000</v>
      </c>
      <c r="H533" s="137">
        <v>490000</v>
      </c>
      <c r="I533" s="83">
        <f>G533-H533</f>
        <v>10000</v>
      </c>
      <c r="J533" s="247"/>
    </row>
    <row r="534" spans="1:11" s="5" customFormat="1" ht="26.25" customHeight="1">
      <c r="A534" s="324" t="s">
        <v>502</v>
      </c>
      <c r="B534" s="231" t="s">
        <v>147</v>
      </c>
      <c r="C534" s="231"/>
      <c r="D534" s="231"/>
      <c r="E534" s="231"/>
      <c r="F534" s="231"/>
      <c r="G534" s="232">
        <f>G536+G540+G543+G635</f>
        <v>126749617.57000001</v>
      </c>
      <c r="H534" s="232">
        <f>H536+H540+H543+H635</f>
        <v>52825628.89</v>
      </c>
      <c r="I534" s="232">
        <f>G534-H534</f>
        <v>73923988.68</v>
      </c>
      <c r="J534" s="237"/>
      <c r="K534" s="144"/>
    </row>
    <row r="535" spans="1:11" s="14" customFormat="1" ht="26.25" customHeight="1">
      <c r="A535" s="323" t="s">
        <v>230</v>
      </c>
      <c r="B535" s="36"/>
      <c r="C535" s="36"/>
      <c r="D535" s="36"/>
      <c r="E535" s="36"/>
      <c r="F535" s="36"/>
      <c r="G535" s="87"/>
      <c r="H535" s="87"/>
      <c r="I535" s="221"/>
      <c r="J535" s="237"/>
      <c r="K535" s="252"/>
    </row>
    <row r="536" spans="1:11" s="14" customFormat="1" ht="26.25" customHeight="1">
      <c r="A536" s="326" t="s">
        <v>506</v>
      </c>
      <c r="B536" s="327"/>
      <c r="C536" s="327"/>
      <c r="D536" s="327"/>
      <c r="E536" s="327"/>
      <c r="F536" s="327"/>
      <c r="G536" s="328">
        <f>G537+G538</f>
        <v>2903786.44</v>
      </c>
      <c r="H536" s="328">
        <f>H537+H538</f>
        <v>1977319.45</v>
      </c>
      <c r="I536" s="328">
        <f>I537+I538</f>
        <v>926466.99</v>
      </c>
      <c r="J536" s="237"/>
      <c r="K536" s="252"/>
    </row>
    <row r="537" spans="1:11" s="14" customFormat="1" ht="26.25" customHeight="1">
      <c r="A537" s="133" t="s">
        <v>505</v>
      </c>
      <c r="B537" s="44" t="s">
        <v>147</v>
      </c>
      <c r="C537" s="44" t="s">
        <v>591</v>
      </c>
      <c r="D537" s="44" t="s">
        <v>206</v>
      </c>
      <c r="E537" s="44" t="s">
        <v>43</v>
      </c>
      <c r="F537" s="44" t="s">
        <v>184</v>
      </c>
      <c r="G537" s="87">
        <v>1234280.44</v>
      </c>
      <c r="H537" s="87">
        <v>1229928</v>
      </c>
      <c r="I537" s="137">
        <f>G537-H537</f>
        <v>4352.439999999944</v>
      </c>
      <c r="J537" s="237"/>
      <c r="K537" s="252"/>
    </row>
    <row r="538" spans="1:11" s="14" customFormat="1" ht="26.25" customHeight="1">
      <c r="A538" s="133" t="s">
        <v>323</v>
      </c>
      <c r="B538" s="44" t="s">
        <v>147</v>
      </c>
      <c r="C538" s="44" t="s">
        <v>591</v>
      </c>
      <c r="D538" s="44" t="s">
        <v>466</v>
      </c>
      <c r="E538" s="44" t="s">
        <v>33</v>
      </c>
      <c r="F538" s="44" t="s">
        <v>178</v>
      </c>
      <c r="G538" s="87">
        <f>1379900+289606</f>
        <v>1669506</v>
      </c>
      <c r="H538" s="87">
        <v>747391.45</v>
      </c>
      <c r="I538" s="137">
        <f>G538-H538</f>
        <v>922114.55</v>
      </c>
      <c r="J538" s="247"/>
      <c r="K538" s="252"/>
    </row>
    <row r="539" spans="1:11" s="14" customFormat="1" ht="26.25" customHeight="1">
      <c r="A539" s="106" t="s">
        <v>231</v>
      </c>
      <c r="B539" s="110"/>
      <c r="C539" s="110"/>
      <c r="D539" s="110"/>
      <c r="E539" s="110"/>
      <c r="F539" s="110"/>
      <c r="G539" s="87"/>
      <c r="H539" s="87"/>
      <c r="I539" s="221"/>
      <c r="J539" s="237"/>
      <c r="K539" s="252"/>
    </row>
    <row r="540" spans="1:10" s="138" customFormat="1" ht="45" customHeight="1">
      <c r="A540" s="311" t="s">
        <v>503</v>
      </c>
      <c r="B540" s="181" t="s">
        <v>147</v>
      </c>
      <c r="C540" s="181"/>
      <c r="D540" s="194"/>
      <c r="E540" s="194"/>
      <c r="F540" s="194"/>
      <c r="G540" s="255">
        <f>G541++G542</f>
        <v>199633</v>
      </c>
      <c r="H540" s="255">
        <f>H541++H542</f>
        <v>85823</v>
      </c>
      <c r="I540" s="255">
        <f>I541++I542</f>
        <v>113810</v>
      </c>
      <c r="J540" s="237"/>
    </row>
    <row r="541" spans="1:10" s="138" customFormat="1" ht="20.25" customHeight="1">
      <c r="A541" s="24" t="s">
        <v>581</v>
      </c>
      <c r="B541" s="25" t="s">
        <v>147</v>
      </c>
      <c r="C541" s="25" t="s">
        <v>580</v>
      </c>
      <c r="D541" s="44" t="s">
        <v>206</v>
      </c>
      <c r="E541" s="44" t="s">
        <v>398</v>
      </c>
      <c r="F541" s="25" t="s">
        <v>193</v>
      </c>
      <c r="G541" s="87">
        <f>469716-221484-48599</f>
        <v>199633</v>
      </c>
      <c r="H541" s="87">
        <v>85823</v>
      </c>
      <c r="I541" s="137">
        <f>G541-H541</f>
        <v>113810</v>
      </c>
      <c r="J541" s="237"/>
    </row>
    <row r="542" spans="1:10" s="138" customFormat="1" ht="20.25" customHeight="1" thickBot="1">
      <c r="A542" s="24"/>
      <c r="B542" s="25" t="s">
        <v>147</v>
      </c>
      <c r="C542" s="25" t="s">
        <v>580</v>
      </c>
      <c r="D542" s="44" t="s">
        <v>206</v>
      </c>
      <c r="E542" s="44" t="s">
        <v>43</v>
      </c>
      <c r="F542" s="25" t="s">
        <v>182</v>
      </c>
      <c r="G542" s="87"/>
      <c r="H542" s="137"/>
      <c r="I542" s="137">
        <f>G542-H542</f>
        <v>0</v>
      </c>
      <c r="J542" s="237"/>
    </row>
    <row r="543" spans="1:13" s="138" customFormat="1" ht="100.5" thickBot="1">
      <c r="A543" s="325" t="s">
        <v>504</v>
      </c>
      <c r="B543" s="181" t="s">
        <v>147</v>
      </c>
      <c r="C543" s="181"/>
      <c r="D543" s="191"/>
      <c r="E543" s="191"/>
      <c r="F543" s="191"/>
      <c r="G543" s="180">
        <f>G548+G550+G552+G563+G568+G632+G633+G634+G622</f>
        <v>118949382.13000001</v>
      </c>
      <c r="H543" s="180">
        <f>H548+H550+H552+H563+H568+H632+H633+H634+H622</f>
        <v>46065670.44</v>
      </c>
      <c r="I543" s="180">
        <f>I548+I550+I552+I563+I568+I632+I633+I634+I622</f>
        <v>76293257.54</v>
      </c>
      <c r="J543" s="364"/>
      <c r="K543" s="333"/>
      <c r="L543" s="333"/>
      <c r="M543" s="333"/>
    </row>
    <row r="544" spans="1:13" s="124" customFormat="1" ht="24" customHeight="1" hidden="1">
      <c r="A544" s="128" t="s">
        <v>53</v>
      </c>
      <c r="B544" s="136" t="s">
        <v>147</v>
      </c>
      <c r="C544" s="185" t="s">
        <v>383</v>
      </c>
      <c r="D544" s="136" t="s">
        <v>206</v>
      </c>
      <c r="E544" s="136"/>
      <c r="F544" s="136"/>
      <c r="G544" s="137"/>
      <c r="H544" s="137"/>
      <c r="I544" s="137"/>
      <c r="J544" s="297"/>
      <c r="K544" s="131"/>
      <c r="L544" s="131"/>
      <c r="M544" s="131"/>
    </row>
    <row r="545" spans="1:13" s="124" customFormat="1" ht="24.75" customHeight="1" hidden="1">
      <c r="A545" s="128" t="s">
        <v>198</v>
      </c>
      <c r="B545" s="136" t="s">
        <v>147</v>
      </c>
      <c r="C545" s="185" t="s">
        <v>383</v>
      </c>
      <c r="D545" s="136" t="s">
        <v>206</v>
      </c>
      <c r="E545" s="136"/>
      <c r="F545" s="136"/>
      <c r="G545" s="137"/>
      <c r="H545" s="137"/>
      <c r="I545" s="137"/>
      <c r="J545" s="297"/>
      <c r="K545" s="131"/>
      <c r="L545" s="131"/>
      <c r="M545" s="131"/>
    </row>
    <row r="546" spans="1:13" s="124" customFormat="1" ht="22.5" customHeight="1" hidden="1">
      <c r="A546" s="128" t="s">
        <v>244</v>
      </c>
      <c r="B546" s="136" t="s">
        <v>147</v>
      </c>
      <c r="C546" s="185" t="s">
        <v>383</v>
      </c>
      <c r="D546" s="136" t="s">
        <v>206</v>
      </c>
      <c r="E546" s="136"/>
      <c r="F546" s="136"/>
      <c r="G546" s="137"/>
      <c r="H546" s="137"/>
      <c r="I546" s="137"/>
      <c r="J546" s="297"/>
      <c r="K546" s="131"/>
      <c r="L546" s="131"/>
      <c r="M546" s="131"/>
    </row>
    <row r="547" spans="1:13" s="124" customFormat="1" ht="29.25" customHeight="1" hidden="1">
      <c r="A547" s="128" t="s">
        <v>244</v>
      </c>
      <c r="B547" s="136" t="s">
        <v>147</v>
      </c>
      <c r="C547" s="185" t="s">
        <v>383</v>
      </c>
      <c r="D547" s="136" t="s">
        <v>125</v>
      </c>
      <c r="E547" s="136"/>
      <c r="F547" s="136"/>
      <c r="G547" s="137"/>
      <c r="H547" s="137"/>
      <c r="I547" s="137"/>
      <c r="J547" s="297"/>
      <c r="K547" s="131"/>
      <c r="L547" s="131"/>
      <c r="M547" s="131"/>
    </row>
    <row r="548" spans="1:13" s="14" customFormat="1" ht="23.25" customHeight="1">
      <c r="A548" s="193" t="s">
        <v>232</v>
      </c>
      <c r="B548" s="327" t="s">
        <v>147</v>
      </c>
      <c r="C548" s="327" t="s">
        <v>582</v>
      </c>
      <c r="D548" s="327"/>
      <c r="E548" s="327"/>
      <c r="F548" s="327"/>
      <c r="G548" s="328">
        <f>G549</f>
        <v>677315.96</v>
      </c>
      <c r="H548" s="328">
        <f>H549</f>
        <v>677315.96</v>
      </c>
      <c r="I548" s="328">
        <f>I549</f>
        <v>0</v>
      </c>
      <c r="J548" s="364"/>
      <c r="K548" s="105"/>
      <c r="L548" s="105"/>
      <c r="M548" s="105"/>
    </row>
    <row r="549" spans="1:11" s="5" customFormat="1" ht="25.5">
      <c r="A549" s="24" t="s">
        <v>324</v>
      </c>
      <c r="B549" s="25" t="s">
        <v>147</v>
      </c>
      <c r="C549" s="44" t="s">
        <v>607</v>
      </c>
      <c r="D549" s="44" t="s">
        <v>206</v>
      </c>
      <c r="E549" s="44" t="s">
        <v>43</v>
      </c>
      <c r="F549" s="44" t="s">
        <v>181</v>
      </c>
      <c r="G549" s="87">
        <f>770376-93060.04</f>
        <v>677315.96</v>
      </c>
      <c r="H549" s="83">
        <v>677315.96</v>
      </c>
      <c r="I549" s="83">
        <f>G549-H549</f>
        <v>0</v>
      </c>
      <c r="J549" s="374"/>
      <c r="K549" s="245"/>
    </row>
    <row r="550" spans="1:10" s="5" customFormat="1" ht="25.5">
      <c r="A550" s="193" t="s">
        <v>325</v>
      </c>
      <c r="B550" s="327" t="s">
        <v>147</v>
      </c>
      <c r="C550" s="327" t="s">
        <v>583</v>
      </c>
      <c r="D550" s="327"/>
      <c r="E550" s="327"/>
      <c r="F550" s="327"/>
      <c r="G550" s="328">
        <f>G551</f>
        <v>7646397.030000001</v>
      </c>
      <c r="H550" s="328">
        <f>H551</f>
        <v>7492614.58</v>
      </c>
      <c r="I550" s="328">
        <f>I551</f>
        <v>153782.45000000112</v>
      </c>
      <c r="J550" s="237"/>
    </row>
    <row r="551" spans="1:11" s="5" customFormat="1" ht="25.5">
      <c r="A551" s="24" t="s">
        <v>326</v>
      </c>
      <c r="B551" s="25" t="s">
        <v>147</v>
      </c>
      <c r="C551" s="44" t="s">
        <v>583</v>
      </c>
      <c r="D551" s="44" t="s">
        <v>206</v>
      </c>
      <c r="E551" s="44" t="s">
        <v>43</v>
      </c>
      <c r="F551" s="44" t="s">
        <v>184</v>
      </c>
      <c r="G551" s="87">
        <f>9212579.38-1566182.35</f>
        <v>7646397.030000001</v>
      </c>
      <c r="H551" s="83">
        <v>7492614.58</v>
      </c>
      <c r="I551" s="137">
        <f>G551-H551</f>
        <v>153782.45000000112</v>
      </c>
      <c r="J551" s="374"/>
      <c r="K551" s="245"/>
    </row>
    <row r="552" spans="1:10" s="5" customFormat="1" ht="25.5">
      <c r="A552" s="193" t="s">
        <v>327</v>
      </c>
      <c r="B552" s="327" t="s">
        <v>147</v>
      </c>
      <c r="C552" s="327" t="s">
        <v>584</v>
      </c>
      <c r="D552" s="327"/>
      <c r="E552" s="327"/>
      <c r="F552" s="327"/>
      <c r="G552" s="328">
        <f>G553+G558+G559+G562+G554</f>
        <v>3784545.85</v>
      </c>
      <c r="H552" s="328">
        <f>H553+H558+H559+H562+H554</f>
        <v>3784545.85</v>
      </c>
      <c r="I552" s="328">
        <f>I553+I558+I559+I562+I554</f>
        <v>3409545.85</v>
      </c>
      <c r="J552" s="392"/>
    </row>
    <row r="553" spans="1:11" s="5" customFormat="1" ht="38.25">
      <c r="A553" s="24" t="s">
        <v>800</v>
      </c>
      <c r="B553" s="25" t="s">
        <v>147</v>
      </c>
      <c r="C553" s="44" t="s">
        <v>584</v>
      </c>
      <c r="D553" s="44" t="s">
        <v>206</v>
      </c>
      <c r="E553" s="44" t="s">
        <v>54</v>
      </c>
      <c r="F553" s="46" t="s">
        <v>188</v>
      </c>
      <c r="G553" s="87">
        <v>375000</v>
      </c>
      <c r="H553" s="87">
        <v>375000</v>
      </c>
      <c r="I553" s="87">
        <f>G553-H553</f>
        <v>0</v>
      </c>
      <c r="J553" s="247"/>
      <c r="K553" s="144"/>
    </row>
    <row r="554" spans="1:11" s="5" customFormat="1" ht="51">
      <c r="A554" s="24" t="s">
        <v>719</v>
      </c>
      <c r="B554" s="25" t="s">
        <v>147</v>
      </c>
      <c r="C554" s="44" t="s">
        <v>584</v>
      </c>
      <c r="D554" s="44" t="s">
        <v>206</v>
      </c>
      <c r="E554" s="44" t="s">
        <v>54</v>
      </c>
      <c r="F554" s="46" t="s">
        <v>500</v>
      </c>
      <c r="G554" s="87">
        <f>G555+G556+G557</f>
        <v>3409545.85</v>
      </c>
      <c r="H554" s="87">
        <v>3409545.85</v>
      </c>
      <c r="I554" s="87">
        <f>I555+I556+I557</f>
        <v>3409545.85</v>
      </c>
      <c r="J554" s="247"/>
      <c r="K554" s="144"/>
    </row>
    <row r="555" spans="1:11" s="5" customFormat="1" ht="63.75" hidden="1">
      <c r="A555" s="48" t="s">
        <v>720</v>
      </c>
      <c r="B555" s="42"/>
      <c r="C555" s="46"/>
      <c r="D555" s="46"/>
      <c r="E555" s="46"/>
      <c r="F555" s="46"/>
      <c r="G555" s="268">
        <f>1422288-1422288</f>
        <v>0</v>
      </c>
      <c r="H555" s="268"/>
      <c r="I555" s="268">
        <f>G555-H555</f>
        <v>0</v>
      </c>
      <c r="J555" s="247"/>
      <c r="K555" s="144"/>
    </row>
    <row r="556" spans="1:11" s="5" customFormat="1" ht="76.5" hidden="1">
      <c r="A556" s="48" t="s">
        <v>848</v>
      </c>
      <c r="B556" s="42"/>
      <c r="C556" s="46"/>
      <c r="D556" s="46"/>
      <c r="E556" s="46"/>
      <c r="F556" s="46"/>
      <c r="G556" s="268">
        <f>5026201.2-1616655.35</f>
        <v>3409545.85</v>
      </c>
      <c r="H556" s="268"/>
      <c r="I556" s="268">
        <f>G556-H556</f>
        <v>3409545.85</v>
      </c>
      <c r="J556" s="247"/>
      <c r="K556" s="144"/>
    </row>
    <row r="557" spans="1:11" s="5" customFormat="1" ht="76.5" hidden="1">
      <c r="A557" s="48" t="s">
        <v>811</v>
      </c>
      <c r="B557" s="42"/>
      <c r="C557" s="46"/>
      <c r="D557" s="46"/>
      <c r="E557" s="46"/>
      <c r="F557" s="46"/>
      <c r="G557" s="268">
        <f>1500000-1500000</f>
        <v>0</v>
      </c>
      <c r="H557" s="268">
        <v>0</v>
      </c>
      <c r="I557" s="268">
        <f>G557-H557</f>
        <v>0</v>
      </c>
      <c r="J557" s="247"/>
      <c r="K557" s="144"/>
    </row>
    <row r="558" spans="1:11" s="5" customFormat="1" ht="25.5">
      <c r="A558" s="24" t="s">
        <v>198</v>
      </c>
      <c r="B558" s="25" t="s">
        <v>147</v>
      </c>
      <c r="C558" s="44" t="s">
        <v>584</v>
      </c>
      <c r="D558" s="44" t="s">
        <v>206</v>
      </c>
      <c r="E558" s="44" t="s">
        <v>70</v>
      </c>
      <c r="F558" s="46" t="s">
        <v>191</v>
      </c>
      <c r="G558" s="87">
        <f>49312.81+433288.79-482601.6</f>
        <v>0</v>
      </c>
      <c r="H558" s="87"/>
      <c r="I558" s="87">
        <f>G558-H558</f>
        <v>0</v>
      </c>
      <c r="J558" s="247"/>
      <c r="K558" s="244"/>
    </row>
    <row r="559" spans="1:34" s="248" customFormat="1" ht="13.5" customHeight="1">
      <c r="A559" s="48"/>
      <c r="B559" s="236"/>
      <c r="C559" s="236"/>
      <c r="D559" s="236"/>
      <c r="E559" s="44"/>
      <c r="F559" s="46"/>
      <c r="G559" s="268"/>
      <c r="H559" s="343"/>
      <c r="I559" s="343"/>
      <c r="J559" s="374"/>
      <c r="K559" s="245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34" s="248" customFormat="1" ht="12.75" customHeight="1" hidden="1">
      <c r="A560" s="48"/>
      <c r="B560" s="236"/>
      <c r="C560" s="236"/>
      <c r="D560" s="236"/>
      <c r="E560" s="44"/>
      <c r="F560" s="46"/>
      <c r="G560" s="268"/>
      <c r="H560" s="343"/>
      <c r="I560" s="343"/>
      <c r="J560" s="37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1:34" s="248" customFormat="1" ht="12.75" customHeight="1" hidden="1">
      <c r="A561" s="48"/>
      <c r="B561" s="236"/>
      <c r="C561" s="236"/>
      <c r="D561" s="236"/>
      <c r="E561" s="44"/>
      <c r="F561" s="46"/>
      <c r="G561" s="268"/>
      <c r="H561" s="343"/>
      <c r="I561" s="343"/>
      <c r="J561" s="374"/>
      <c r="K561" s="105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34" s="248" customFormat="1" ht="21" customHeight="1">
      <c r="A562" s="48"/>
      <c r="B562" s="236"/>
      <c r="C562" s="236"/>
      <c r="D562" s="236"/>
      <c r="E562" s="44"/>
      <c r="F562" s="46"/>
      <c r="G562" s="268"/>
      <c r="H562" s="343"/>
      <c r="I562" s="343"/>
      <c r="J562" s="374"/>
      <c r="K562" s="105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1:34" s="407" customFormat="1" ht="30" customHeight="1">
      <c r="A563" s="336" t="s">
        <v>585</v>
      </c>
      <c r="B563" s="327" t="s">
        <v>147</v>
      </c>
      <c r="C563" s="327" t="s">
        <v>586</v>
      </c>
      <c r="D563" s="327"/>
      <c r="E563" s="327"/>
      <c r="F563" s="406"/>
      <c r="G563" s="328">
        <f>G564+G565+G567</f>
        <v>4591280.48</v>
      </c>
      <c r="H563" s="328">
        <f>H564+H565+H567</f>
        <v>4250166.72</v>
      </c>
      <c r="I563" s="328">
        <f>I564+I565+I567</f>
        <v>341113.76</v>
      </c>
      <c r="J563" s="374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</row>
    <row r="564" spans="1:34" s="248" customFormat="1" ht="27.75" customHeight="1">
      <c r="A564" s="24" t="s">
        <v>587</v>
      </c>
      <c r="B564" s="236" t="s">
        <v>147</v>
      </c>
      <c r="C564" s="236" t="s">
        <v>586</v>
      </c>
      <c r="D564" s="236" t="s">
        <v>253</v>
      </c>
      <c r="E564" s="44" t="s">
        <v>43</v>
      </c>
      <c r="F564" s="44" t="s">
        <v>500</v>
      </c>
      <c r="G564" s="87">
        <f>12382192.08-8743533.7</f>
        <v>3638658.380000001</v>
      </c>
      <c r="H564" s="239">
        <v>3638658.38</v>
      </c>
      <c r="I564" s="87">
        <f>G564-H564</f>
        <v>0</v>
      </c>
      <c r="J564" s="374"/>
      <c r="K564" s="465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34" s="248" customFormat="1" ht="28.5" customHeight="1">
      <c r="A565" s="24" t="s">
        <v>588</v>
      </c>
      <c r="B565" s="236" t="s">
        <v>147</v>
      </c>
      <c r="C565" s="236" t="s">
        <v>586</v>
      </c>
      <c r="D565" s="236" t="s">
        <v>253</v>
      </c>
      <c r="E565" s="44" t="s">
        <v>43</v>
      </c>
      <c r="F565" s="44" t="s">
        <v>182</v>
      </c>
      <c r="G565" s="87">
        <f>651694.32-48275.51-70796.71</f>
        <v>532622.1</v>
      </c>
      <c r="H565" s="239">
        <v>191508.34</v>
      </c>
      <c r="I565" s="87">
        <f>G565-H565</f>
        <v>341113.76</v>
      </c>
      <c r="J565" s="374"/>
      <c r="K565" s="465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1:34" s="248" customFormat="1" ht="28.5" customHeight="1" hidden="1">
      <c r="A566" s="24" t="s">
        <v>741</v>
      </c>
      <c r="B566" s="236" t="s">
        <v>147</v>
      </c>
      <c r="C566" s="236" t="s">
        <v>586</v>
      </c>
      <c r="D566" s="236" t="s">
        <v>253</v>
      </c>
      <c r="E566" s="44" t="s">
        <v>43</v>
      </c>
      <c r="F566" s="44" t="s">
        <v>521</v>
      </c>
      <c r="G566" s="87">
        <f>11103230.66-281570-10821660.66</f>
        <v>0</v>
      </c>
      <c r="H566" s="239"/>
      <c r="I566" s="239">
        <f>G566-H566</f>
        <v>0</v>
      </c>
      <c r="J566" s="374"/>
      <c r="K566" s="105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1:34" s="248" customFormat="1" ht="28.5" customHeight="1">
      <c r="A567" s="24" t="s">
        <v>697</v>
      </c>
      <c r="B567" s="236" t="s">
        <v>147</v>
      </c>
      <c r="C567" s="236" t="s">
        <v>586</v>
      </c>
      <c r="D567" s="236" t="s">
        <v>253</v>
      </c>
      <c r="E567" s="44" t="s">
        <v>54</v>
      </c>
      <c r="F567" s="44" t="s">
        <v>362</v>
      </c>
      <c r="G567" s="87">
        <v>420000</v>
      </c>
      <c r="H567" s="239">
        <v>420000</v>
      </c>
      <c r="I567" s="239">
        <f>G567-H567</f>
        <v>0</v>
      </c>
      <c r="J567" s="374"/>
      <c r="K567" s="105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11" s="5" customFormat="1" ht="24.75" customHeight="1">
      <c r="A568" s="193" t="s">
        <v>328</v>
      </c>
      <c r="B568" s="327" t="s">
        <v>147</v>
      </c>
      <c r="C568" s="327" t="s">
        <v>589</v>
      </c>
      <c r="D568" s="327"/>
      <c r="E568" s="327"/>
      <c r="F568" s="327"/>
      <c r="G568" s="328">
        <f>G574+G587+G593+G596+G610+G569+G571+G607+G586+G585+G570</f>
        <v>55558192.81000001</v>
      </c>
      <c r="H568" s="328">
        <f>H574+H587+H593+H596+H610+H569+H571+H607+H586+H585+H570</f>
        <v>20349685.65</v>
      </c>
      <c r="I568" s="328">
        <f>I574+I587+I593+I596+I610+I569+I571+I607+I586+I585+I570</f>
        <v>35208507.160000004</v>
      </c>
      <c r="J568" s="364"/>
      <c r="K568" s="144"/>
    </row>
    <row r="569" spans="1:11" s="14" customFormat="1" ht="24.75" customHeight="1">
      <c r="A569" s="45" t="s">
        <v>698</v>
      </c>
      <c r="B569" s="36" t="s">
        <v>147</v>
      </c>
      <c r="C569" s="36" t="s">
        <v>589</v>
      </c>
      <c r="D569" s="36" t="s">
        <v>253</v>
      </c>
      <c r="E569" s="36" t="s">
        <v>54</v>
      </c>
      <c r="F569" s="36" t="s">
        <v>362</v>
      </c>
      <c r="G569" s="93">
        <v>200000</v>
      </c>
      <c r="H569" s="93">
        <v>200000</v>
      </c>
      <c r="I569" s="93">
        <f aca="true" t="shared" si="24" ref="I569:I574">G569-H569</f>
        <v>0</v>
      </c>
      <c r="J569" s="253"/>
      <c r="K569" s="252"/>
    </row>
    <row r="570" spans="1:11" s="14" customFormat="1" ht="24.75" customHeight="1">
      <c r="A570" s="466" t="s">
        <v>853</v>
      </c>
      <c r="B570" s="36" t="s">
        <v>147</v>
      </c>
      <c r="C570" s="36" t="s">
        <v>653</v>
      </c>
      <c r="D570" s="36" t="s">
        <v>206</v>
      </c>
      <c r="E570" s="36" t="s">
        <v>54</v>
      </c>
      <c r="F570" s="36" t="s">
        <v>362</v>
      </c>
      <c r="G570" s="93">
        <f>2388129.83-1482308.24</f>
        <v>905821.5900000001</v>
      </c>
      <c r="H570" s="87">
        <v>0</v>
      </c>
      <c r="I570" s="87">
        <f t="shared" si="24"/>
        <v>905821.5900000001</v>
      </c>
      <c r="J570" s="253"/>
      <c r="K570" s="252"/>
    </row>
    <row r="571" spans="1:11" s="14" customFormat="1" ht="24.75" customHeight="1">
      <c r="A571" s="45" t="s">
        <v>752</v>
      </c>
      <c r="B571" s="36" t="s">
        <v>147</v>
      </c>
      <c r="C571" s="36" t="s">
        <v>589</v>
      </c>
      <c r="D571" s="36" t="s">
        <v>206</v>
      </c>
      <c r="E571" s="36" t="s">
        <v>54</v>
      </c>
      <c r="F571" s="36" t="s">
        <v>751</v>
      </c>
      <c r="G571" s="93">
        <f>G572+G573</f>
        <v>100909.81</v>
      </c>
      <c r="H571" s="93">
        <v>15000</v>
      </c>
      <c r="I571" s="93">
        <f t="shared" si="24"/>
        <v>85909.81</v>
      </c>
      <c r="J571" s="253"/>
      <c r="K571" s="252"/>
    </row>
    <row r="572" spans="1:11" s="14" customFormat="1" ht="24.75" customHeight="1" hidden="1">
      <c r="A572" s="48" t="s">
        <v>753</v>
      </c>
      <c r="B572" s="46"/>
      <c r="C572" s="46"/>
      <c r="D572" s="46"/>
      <c r="E572" s="46"/>
      <c r="F572" s="46"/>
      <c r="G572" s="268">
        <v>15000</v>
      </c>
      <c r="H572" s="268"/>
      <c r="I572" s="87">
        <f t="shared" si="24"/>
        <v>15000</v>
      </c>
      <c r="J572" s="253"/>
      <c r="K572" s="252"/>
    </row>
    <row r="573" spans="1:11" s="14" customFormat="1" ht="24.75" customHeight="1" hidden="1">
      <c r="A573" s="361" t="s">
        <v>755</v>
      </c>
      <c r="B573" s="46"/>
      <c r="C573" s="46"/>
      <c r="D573" s="46"/>
      <c r="E573" s="46"/>
      <c r="F573" s="46"/>
      <c r="G573" s="268">
        <f>200000-114090.19</f>
        <v>85909.81</v>
      </c>
      <c r="H573" s="268">
        <v>0</v>
      </c>
      <c r="I573" s="87">
        <f t="shared" si="24"/>
        <v>85909.81</v>
      </c>
      <c r="J573" s="253"/>
      <c r="K573" s="252"/>
    </row>
    <row r="574" spans="1:11" s="5" customFormat="1" ht="12.75">
      <c r="A574" s="222" t="s">
        <v>540</v>
      </c>
      <c r="B574" s="36" t="s">
        <v>147</v>
      </c>
      <c r="C574" s="36" t="s">
        <v>589</v>
      </c>
      <c r="D574" s="36" t="s">
        <v>206</v>
      </c>
      <c r="E574" s="36" t="s">
        <v>54</v>
      </c>
      <c r="F574" s="36" t="s">
        <v>188</v>
      </c>
      <c r="G574" s="93">
        <f>G577+G578+G579+G580+G582+G584+G581+G583+G576+G575</f>
        <v>10549515.89</v>
      </c>
      <c r="H574" s="93">
        <v>576782.76</v>
      </c>
      <c r="I574" s="93">
        <f t="shared" si="24"/>
        <v>9972733.13</v>
      </c>
      <c r="J574" s="364"/>
      <c r="K574" s="14"/>
    </row>
    <row r="575" spans="1:11" s="5" customFormat="1" ht="12.75" hidden="1">
      <c r="A575" s="140" t="s">
        <v>828</v>
      </c>
      <c r="B575" s="44"/>
      <c r="C575" s="44"/>
      <c r="D575" s="44"/>
      <c r="E575" s="44"/>
      <c r="F575" s="44"/>
      <c r="G575" s="87">
        <v>92250</v>
      </c>
      <c r="H575" s="87"/>
      <c r="I575" s="87">
        <f aca="true" t="shared" si="25" ref="I575:I586">G575-H575</f>
        <v>92250</v>
      </c>
      <c r="J575" s="386"/>
      <c r="K575" s="14"/>
    </row>
    <row r="576" spans="1:11" s="5" customFormat="1" ht="12.75" hidden="1">
      <c r="A576" s="350"/>
      <c r="B576" s="36"/>
      <c r="C576" s="36"/>
      <c r="D576" s="36"/>
      <c r="E576" s="36"/>
      <c r="F576" s="36"/>
      <c r="G576" s="343">
        <f>2631394.61-2631394.61</f>
        <v>0</v>
      </c>
      <c r="H576" s="93"/>
      <c r="I576" s="93"/>
      <c r="J576" s="364"/>
      <c r="K576" s="14"/>
    </row>
    <row r="577" spans="1:11" s="5" customFormat="1" ht="90" hidden="1">
      <c r="A577" s="361" t="s">
        <v>590</v>
      </c>
      <c r="B577" s="44"/>
      <c r="C577" s="44"/>
      <c r="D577" s="44"/>
      <c r="E577" s="44"/>
      <c r="F577" s="44"/>
      <c r="G577" s="83">
        <v>8869377.4</v>
      </c>
      <c r="H577" s="83"/>
      <c r="I577" s="87">
        <f t="shared" si="25"/>
        <v>8869377.4</v>
      </c>
      <c r="J577" s="247"/>
      <c r="K577" s="14"/>
    </row>
    <row r="578" spans="1:11" s="5" customFormat="1" ht="12.75" hidden="1">
      <c r="A578" s="350" t="s">
        <v>722</v>
      </c>
      <c r="B578" s="46"/>
      <c r="C578" s="46"/>
      <c r="D578" s="46"/>
      <c r="E578" s="46"/>
      <c r="F578" s="46"/>
      <c r="G578" s="82">
        <v>354300</v>
      </c>
      <c r="H578" s="82"/>
      <c r="I578" s="87">
        <f t="shared" si="25"/>
        <v>354300</v>
      </c>
      <c r="J578" s="297"/>
      <c r="K578" s="14"/>
    </row>
    <row r="579" spans="1:11" s="5" customFormat="1" ht="12.75" hidden="1">
      <c r="A579" s="350" t="s">
        <v>749</v>
      </c>
      <c r="B579" s="46"/>
      <c r="C579" s="46"/>
      <c r="D579" s="46"/>
      <c r="E579" s="46"/>
      <c r="F579" s="46"/>
      <c r="G579" s="268">
        <v>160000</v>
      </c>
      <c r="H579" s="82"/>
      <c r="I579" s="87">
        <f t="shared" si="25"/>
        <v>160000</v>
      </c>
      <c r="J579" s="297"/>
      <c r="K579" s="14"/>
    </row>
    <row r="580" spans="1:11" s="5" customFormat="1" ht="12.75" hidden="1">
      <c r="A580" s="350" t="s">
        <v>799</v>
      </c>
      <c r="B580" s="46"/>
      <c r="C580" s="46"/>
      <c r="D580" s="46"/>
      <c r="E580" s="46"/>
      <c r="F580" s="46"/>
      <c r="G580" s="82">
        <f>1029090-749515.2</f>
        <v>279574.80000000005</v>
      </c>
      <c r="H580" s="82"/>
      <c r="I580" s="87">
        <f t="shared" si="25"/>
        <v>279574.80000000005</v>
      </c>
      <c r="J580" s="247"/>
      <c r="K580" s="14"/>
    </row>
    <row r="581" spans="1:11" s="5" customFormat="1" ht="12.75" hidden="1">
      <c r="A581" s="350" t="s">
        <v>770</v>
      </c>
      <c r="B581" s="46"/>
      <c r="C581" s="46"/>
      <c r="D581" s="46"/>
      <c r="E581" s="46"/>
      <c r="F581" s="46"/>
      <c r="G581" s="82">
        <v>4482.76</v>
      </c>
      <c r="H581" s="82"/>
      <c r="I581" s="87">
        <f t="shared" si="25"/>
        <v>4482.76</v>
      </c>
      <c r="J581" s="247"/>
      <c r="K581" s="14"/>
    </row>
    <row r="582" spans="1:11" s="5" customFormat="1" ht="38.25" hidden="1">
      <c r="A582" s="353" t="s">
        <v>748</v>
      </c>
      <c r="B582" s="46"/>
      <c r="C582" s="46"/>
      <c r="D582" s="46"/>
      <c r="E582" s="46"/>
      <c r="F582" s="46"/>
      <c r="G582" s="343">
        <f>226528.03-160000+647405.99-400502.41-4482.76-308739.73+25579.12</f>
        <v>25788.240000000053</v>
      </c>
      <c r="H582" s="82"/>
      <c r="I582" s="87">
        <f t="shared" si="25"/>
        <v>25788.240000000053</v>
      </c>
      <c r="J582" s="297"/>
      <c r="K582" s="14"/>
    </row>
    <row r="583" spans="1:11" s="5" customFormat="1" ht="38.25" hidden="1">
      <c r="A583" s="353" t="s">
        <v>814</v>
      </c>
      <c r="B583" s="46"/>
      <c r="C583" s="46"/>
      <c r="D583" s="46"/>
      <c r="E583" s="46"/>
      <c r="F583" s="46"/>
      <c r="G583" s="343"/>
      <c r="H583" s="82">
        <v>0</v>
      </c>
      <c r="I583" s="87">
        <f t="shared" si="25"/>
        <v>0</v>
      </c>
      <c r="J583" s="297"/>
      <c r="K583" s="14"/>
    </row>
    <row r="584" spans="1:11" s="5" customFormat="1" ht="25.5" hidden="1">
      <c r="A584" s="353" t="s">
        <v>756</v>
      </c>
      <c r="B584" s="46"/>
      <c r="C584" s="46"/>
      <c r="D584" s="46"/>
      <c r="E584" s="46"/>
      <c r="F584" s="46"/>
      <c r="G584" s="343">
        <f>363240.28+400502.41</f>
        <v>763742.69</v>
      </c>
      <c r="H584" s="82">
        <v>0</v>
      </c>
      <c r="I584" s="87">
        <f t="shared" si="25"/>
        <v>763742.69</v>
      </c>
      <c r="J584" s="297"/>
      <c r="K584" s="14"/>
    </row>
    <row r="585" spans="1:11" s="5" customFormat="1" ht="12.75">
      <c r="A585" s="350" t="s">
        <v>829</v>
      </c>
      <c r="B585" s="36" t="s">
        <v>147</v>
      </c>
      <c r="C585" s="36" t="s">
        <v>589</v>
      </c>
      <c r="D585" s="36" t="s">
        <v>206</v>
      </c>
      <c r="E585" s="36" t="s">
        <v>43</v>
      </c>
      <c r="F585" s="36" t="s">
        <v>182</v>
      </c>
      <c r="G585" s="343">
        <v>2631394.61</v>
      </c>
      <c r="H585" s="82">
        <v>2631394.61</v>
      </c>
      <c r="I585" s="87">
        <f t="shared" si="25"/>
        <v>0</v>
      </c>
      <c r="J585" s="297"/>
      <c r="K585" s="14"/>
    </row>
    <row r="586" spans="1:11" s="5" customFormat="1" ht="38.25">
      <c r="A586" s="353" t="s">
        <v>826</v>
      </c>
      <c r="B586" s="36" t="s">
        <v>147</v>
      </c>
      <c r="C586" s="36" t="s">
        <v>589</v>
      </c>
      <c r="D586" s="36" t="s">
        <v>206</v>
      </c>
      <c r="E586" s="36" t="s">
        <v>43</v>
      </c>
      <c r="F586" s="36" t="s">
        <v>181</v>
      </c>
      <c r="G586" s="268">
        <v>360031.9</v>
      </c>
      <c r="H586" s="82"/>
      <c r="I586" s="87">
        <f t="shared" si="25"/>
        <v>360031.9</v>
      </c>
      <c r="J586" s="297"/>
      <c r="K586" s="14"/>
    </row>
    <row r="587" spans="1:11" s="5" customFormat="1" ht="12.75">
      <c r="A587" s="222" t="s">
        <v>541</v>
      </c>
      <c r="B587" s="36" t="s">
        <v>147</v>
      </c>
      <c r="C587" s="36" t="s">
        <v>589</v>
      </c>
      <c r="D587" s="36" t="s">
        <v>206</v>
      </c>
      <c r="E587" s="36" t="s">
        <v>54</v>
      </c>
      <c r="F587" s="36" t="s">
        <v>521</v>
      </c>
      <c r="G587" s="71">
        <f>G588+G589+G590+G591+G592</f>
        <v>6261377.739999998</v>
      </c>
      <c r="H587" s="71">
        <f>H588+H589+H590+H591+H592</f>
        <v>763742.68</v>
      </c>
      <c r="I587" s="93">
        <f>I588+I589+I590+I591+I592</f>
        <v>5497635.059999999</v>
      </c>
      <c r="J587" s="369"/>
      <c r="K587" s="14"/>
    </row>
    <row r="588" spans="1:11" s="5" customFormat="1" ht="12.75">
      <c r="A588" s="140" t="s">
        <v>864</v>
      </c>
      <c r="B588" s="346"/>
      <c r="C588" s="346"/>
      <c r="D588" s="346"/>
      <c r="E588" s="346"/>
      <c r="F588" s="346"/>
      <c r="G588" s="82">
        <f>28310626.54-6702350-17230000+101034.93</f>
        <v>4479311.469999999</v>
      </c>
      <c r="H588" s="82">
        <v>0</v>
      </c>
      <c r="I588" s="87">
        <f>G588-H588</f>
        <v>4479311.469999999</v>
      </c>
      <c r="J588" s="364"/>
      <c r="K588" s="14"/>
    </row>
    <row r="589" spans="1:11" s="5" customFormat="1" ht="51">
      <c r="A589" s="449" t="s">
        <v>863</v>
      </c>
      <c r="B589" s="346"/>
      <c r="C589" s="346"/>
      <c r="D589" s="346"/>
      <c r="E589" s="346"/>
      <c r="F589" s="346"/>
      <c r="G589" s="82">
        <v>1782066.27</v>
      </c>
      <c r="H589" s="82">
        <v>763742.68</v>
      </c>
      <c r="I589" s="268">
        <f>G589-H589</f>
        <v>1018323.59</v>
      </c>
      <c r="J589" s="297"/>
      <c r="K589" s="14"/>
    </row>
    <row r="590" spans="1:11" s="5" customFormat="1" ht="12.75">
      <c r="A590" s="353"/>
      <c r="B590" s="346"/>
      <c r="C590" s="346"/>
      <c r="D590" s="346"/>
      <c r="E590" s="346"/>
      <c r="F590" s="346"/>
      <c r="G590" s="82"/>
      <c r="H590" s="82"/>
      <c r="I590" s="268">
        <f>G590-H590</f>
        <v>0</v>
      </c>
      <c r="J590" s="297"/>
      <c r="K590" s="14"/>
    </row>
    <row r="591" spans="1:11" s="5" customFormat="1" ht="12.75">
      <c r="A591" s="353"/>
      <c r="B591" s="346"/>
      <c r="C591" s="346"/>
      <c r="D591" s="346"/>
      <c r="E591" s="346"/>
      <c r="F591" s="346"/>
      <c r="G591" s="82"/>
      <c r="H591" s="82"/>
      <c r="I591" s="268">
        <f>G591-H591</f>
        <v>0</v>
      </c>
      <c r="J591" s="297"/>
      <c r="K591" s="14"/>
    </row>
    <row r="592" spans="1:11" s="5" customFormat="1" ht="12.75">
      <c r="A592" s="355"/>
      <c r="B592" s="346"/>
      <c r="C592" s="346"/>
      <c r="D592" s="346"/>
      <c r="E592" s="346"/>
      <c r="F592" s="346"/>
      <c r="G592" s="82"/>
      <c r="H592" s="82"/>
      <c r="I592" s="268">
        <f>G592-H592</f>
        <v>0</v>
      </c>
      <c r="J592" s="297"/>
      <c r="K592" s="14"/>
    </row>
    <row r="593" spans="1:11" s="5" customFormat="1" ht="12.75">
      <c r="A593" s="222" t="s">
        <v>542</v>
      </c>
      <c r="B593" s="321" t="s">
        <v>147</v>
      </c>
      <c r="C593" s="36" t="s">
        <v>589</v>
      </c>
      <c r="D593" s="321" t="s">
        <v>206</v>
      </c>
      <c r="E593" s="321" t="s">
        <v>54</v>
      </c>
      <c r="F593" s="321" t="s">
        <v>500</v>
      </c>
      <c r="G593" s="354">
        <f>G594+G595</f>
        <v>21286302.6</v>
      </c>
      <c r="H593" s="354">
        <f>H594+H595</f>
        <v>9046704</v>
      </c>
      <c r="I593" s="354">
        <f>I594+I595</f>
        <v>12239598.600000001</v>
      </c>
      <c r="J593" s="297"/>
      <c r="K593" s="14"/>
    </row>
    <row r="594" spans="1:11" s="5" customFormat="1" ht="90">
      <c r="A594" s="361" t="s">
        <v>590</v>
      </c>
      <c r="B594" s="351"/>
      <c r="C594" s="351"/>
      <c r="D594" s="351"/>
      <c r="E594" s="351"/>
      <c r="F594" s="321"/>
      <c r="G594" s="352">
        <v>21286302.6</v>
      </c>
      <c r="H594" s="83">
        <v>9046704</v>
      </c>
      <c r="I594" s="87">
        <f>G594-H594</f>
        <v>12239598.600000001</v>
      </c>
      <c r="J594" s="297"/>
      <c r="K594" s="14"/>
    </row>
    <row r="595" spans="1:11" s="5" customFormat="1" ht="15">
      <c r="A595" s="361"/>
      <c r="B595" s="351"/>
      <c r="C595" s="351"/>
      <c r="D595" s="351"/>
      <c r="E595" s="351"/>
      <c r="F595" s="321"/>
      <c r="G595" s="352"/>
      <c r="H595" s="83"/>
      <c r="I595" s="87">
        <f>G595-H595</f>
        <v>0</v>
      </c>
      <c r="J595" s="297"/>
      <c r="K595" s="14"/>
    </row>
    <row r="596" spans="1:11" s="5" customFormat="1" ht="25.5">
      <c r="A596" s="45" t="s">
        <v>543</v>
      </c>
      <c r="B596" s="36" t="s">
        <v>147</v>
      </c>
      <c r="C596" s="36" t="s">
        <v>589</v>
      </c>
      <c r="D596" s="36" t="s">
        <v>206</v>
      </c>
      <c r="E596" s="36" t="s">
        <v>70</v>
      </c>
      <c r="F596" s="36" t="s">
        <v>191</v>
      </c>
      <c r="G596" s="93">
        <f>G597+G598+G599+G600+G601+G602+G603+G604+G605+G606</f>
        <v>9876825.67</v>
      </c>
      <c r="H596" s="93">
        <v>4588855</v>
      </c>
      <c r="I596" s="93">
        <f>G596-H596</f>
        <v>5287970.67</v>
      </c>
      <c r="J596" s="364"/>
      <c r="K596" s="14"/>
    </row>
    <row r="597" spans="1:11" s="5" customFormat="1" ht="25.5" hidden="1">
      <c r="A597" s="48" t="s">
        <v>744</v>
      </c>
      <c r="B597" s="46"/>
      <c r="C597" s="46"/>
      <c r="D597" s="46"/>
      <c r="E597" s="46"/>
      <c r="F597" s="46"/>
      <c r="G597" s="268">
        <f>861900-561900-300000+288000-38000+2320</f>
        <v>252320</v>
      </c>
      <c r="H597" s="82"/>
      <c r="I597" s="87">
        <f aca="true" t="shared" si="26" ref="I597:I609">G597-H597</f>
        <v>252320</v>
      </c>
      <c r="J597" s="374"/>
      <c r="K597" s="14"/>
    </row>
    <row r="598" spans="1:11" s="5" customFormat="1" ht="12.75" hidden="1">
      <c r="A598" s="48" t="s">
        <v>745</v>
      </c>
      <c r="B598" s="46"/>
      <c r="C598" s="46"/>
      <c r="D598" s="46"/>
      <c r="E598" s="46"/>
      <c r="F598" s="46"/>
      <c r="G598" s="268">
        <f>150000-30000</f>
        <v>120000</v>
      </c>
      <c r="H598" s="82"/>
      <c r="I598" s="87">
        <f t="shared" si="26"/>
        <v>120000</v>
      </c>
      <c r="J598" s="374"/>
      <c r="K598" s="14"/>
    </row>
    <row r="599" spans="1:11" s="5" customFormat="1" ht="25.5" hidden="1">
      <c r="A599" s="357" t="s">
        <v>746</v>
      </c>
      <c r="B599" s="44"/>
      <c r="C599" s="44"/>
      <c r="D599" s="44"/>
      <c r="E599" s="44"/>
      <c r="F599" s="44"/>
      <c r="G599" s="87">
        <f>300000-1525</f>
        <v>298475</v>
      </c>
      <c r="H599" s="137"/>
      <c r="I599" s="87">
        <f t="shared" si="26"/>
        <v>298475</v>
      </c>
      <c r="J599" s="247"/>
      <c r="K599" s="14"/>
    </row>
    <row r="600" spans="1:11" s="5" customFormat="1" ht="38.25" hidden="1">
      <c r="A600" s="48" t="s">
        <v>747</v>
      </c>
      <c r="B600" s="44"/>
      <c r="C600" s="44"/>
      <c r="D600" s="44"/>
      <c r="E600" s="44"/>
      <c r="F600" s="44"/>
      <c r="G600" s="87">
        <f>150000-150000</f>
        <v>0</v>
      </c>
      <c r="H600" s="137"/>
      <c r="I600" s="87">
        <f t="shared" si="26"/>
        <v>0</v>
      </c>
      <c r="J600" s="297"/>
      <c r="K600" s="14"/>
    </row>
    <row r="601" spans="1:11" s="5" customFormat="1" ht="25.5" hidden="1">
      <c r="A601" s="48" t="s">
        <v>788</v>
      </c>
      <c r="B601" s="44"/>
      <c r="C601" s="44"/>
      <c r="D601" s="44"/>
      <c r="E601" s="44"/>
      <c r="F601" s="44"/>
      <c r="G601" s="87">
        <f>38000+280000-795-67205</f>
        <v>250000</v>
      </c>
      <c r="H601" s="137"/>
      <c r="I601" s="87">
        <f t="shared" si="26"/>
        <v>250000</v>
      </c>
      <c r="J601" s="247"/>
      <c r="K601" s="14"/>
    </row>
    <row r="602" spans="1:11" s="5" customFormat="1" ht="38.25" hidden="1">
      <c r="A602" s="48" t="s">
        <v>789</v>
      </c>
      <c r="B602" s="44"/>
      <c r="C602" s="44"/>
      <c r="D602" s="44"/>
      <c r="E602" s="44"/>
      <c r="F602" s="44"/>
      <c r="G602" s="87">
        <f>417600-77940</f>
        <v>339660</v>
      </c>
      <c r="H602" s="137"/>
      <c r="I602" s="87">
        <f t="shared" si="26"/>
        <v>339660</v>
      </c>
      <c r="J602" s="247"/>
      <c r="K602" s="14"/>
    </row>
    <row r="603" spans="1:11" s="5" customFormat="1" ht="25.5" hidden="1">
      <c r="A603" s="48" t="s">
        <v>838</v>
      </c>
      <c r="B603" s="44"/>
      <c r="C603" s="44"/>
      <c r="D603" s="44"/>
      <c r="E603" s="44"/>
      <c r="F603" s="44"/>
      <c r="G603" s="87">
        <f>3967836.67-19932.67-517700</f>
        <v>3430204</v>
      </c>
      <c r="H603" s="137"/>
      <c r="I603" s="87">
        <f t="shared" si="26"/>
        <v>3430204</v>
      </c>
      <c r="J603" s="247"/>
      <c r="K603" s="14"/>
    </row>
    <row r="604" spans="1:11" s="5" customFormat="1" ht="38.25" hidden="1">
      <c r="A604" s="48" t="s">
        <v>845</v>
      </c>
      <c r="B604" s="44"/>
      <c r="C604" s="44"/>
      <c r="D604" s="44"/>
      <c r="E604" s="44"/>
      <c r="F604" s="44"/>
      <c r="G604" s="87">
        <f>519567.33+19932.67</f>
        <v>539500</v>
      </c>
      <c r="H604" s="137"/>
      <c r="I604" s="87">
        <f t="shared" si="26"/>
        <v>539500</v>
      </c>
      <c r="J604" s="247"/>
      <c r="K604" s="14"/>
    </row>
    <row r="605" spans="1:11" s="5" customFormat="1" ht="12.75" hidden="1">
      <c r="A605" s="48" t="s">
        <v>847</v>
      </c>
      <c r="B605" s="44"/>
      <c r="C605" s="44"/>
      <c r="D605" s="44"/>
      <c r="E605" s="44"/>
      <c r="F605" s="44"/>
      <c r="G605" s="87">
        <v>4496666.67</v>
      </c>
      <c r="H605" s="137"/>
      <c r="I605" s="87">
        <f t="shared" si="26"/>
        <v>4496666.67</v>
      </c>
      <c r="J605" s="247"/>
      <c r="K605" s="14"/>
    </row>
    <row r="606" spans="1:11" s="5" customFormat="1" ht="63.75" hidden="1">
      <c r="A606" s="353" t="s">
        <v>859</v>
      </c>
      <c r="B606" s="44"/>
      <c r="C606" s="44"/>
      <c r="D606" s="44"/>
      <c r="E606" s="44"/>
      <c r="F606" s="44"/>
      <c r="G606" s="87">
        <v>150000</v>
      </c>
      <c r="H606" s="137"/>
      <c r="I606" s="87">
        <f t="shared" si="26"/>
        <v>150000</v>
      </c>
      <c r="J606" s="247"/>
      <c r="K606" s="14"/>
    </row>
    <row r="607" spans="1:11" s="5" customFormat="1" ht="25.5">
      <c r="A607" s="45" t="s">
        <v>778</v>
      </c>
      <c r="B607" s="36" t="s">
        <v>147</v>
      </c>
      <c r="C607" s="36" t="s">
        <v>589</v>
      </c>
      <c r="D607" s="36" t="s">
        <v>206</v>
      </c>
      <c r="E607" s="36" t="s">
        <v>412</v>
      </c>
      <c r="F607" s="36" t="s">
        <v>258</v>
      </c>
      <c r="G607" s="93">
        <f>G608+G609</f>
        <v>601400</v>
      </c>
      <c r="H607" s="93">
        <v>19180</v>
      </c>
      <c r="I607" s="93">
        <f>G607-H607</f>
        <v>582220</v>
      </c>
      <c r="J607" s="297"/>
      <c r="K607" s="14"/>
    </row>
    <row r="608" spans="1:11" s="5" customFormat="1" ht="38.25" hidden="1">
      <c r="A608" s="24" t="s">
        <v>774</v>
      </c>
      <c r="B608" s="44"/>
      <c r="C608" s="44"/>
      <c r="D608" s="44"/>
      <c r="E608" s="44"/>
      <c r="F608" s="44"/>
      <c r="G608" s="87">
        <v>19180</v>
      </c>
      <c r="H608" s="137"/>
      <c r="I608" s="87">
        <f t="shared" si="26"/>
        <v>19180</v>
      </c>
      <c r="J608" s="297"/>
      <c r="K608" s="14"/>
    </row>
    <row r="609" spans="1:11" s="5" customFormat="1" ht="25.5" hidden="1">
      <c r="A609" s="24" t="s">
        <v>798</v>
      </c>
      <c r="B609" s="44"/>
      <c r="C609" s="44"/>
      <c r="D609" s="44"/>
      <c r="E609" s="44"/>
      <c r="F609" s="44"/>
      <c r="G609" s="87">
        <v>582220</v>
      </c>
      <c r="H609" s="137">
        <v>0</v>
      </c>
      <c r="I609" s="87">
        <f t="shared" si="26"/>
        <v>582220</v>
      </c>
      <c r="J609" s="297"/>
      <c r="K609" s="14"/>
    </row>
    <row r="610" spans="1:11" s="5" customFormat="1" ht="38.25">
      <c r="A610" s="45" t="s">
        <v>544</v>
      </c>
      <c r="B610" s="36" t="s">
        <v>147</v>
      </c>
      <c r="C610" s="36" t="s">
        <v>589</v>
      </c>
      <c r="D610" s="36" t="s">
        <v>206</v>
      </c>
      <c r="E610" s="36" t="s">
        <v>398</v>
      </c>
      <c r="F610" s="36" t="s">
        <v>193</v>
      </c>
      <c r="G610" s="93">
        <f>G613+G614+G616+G619+G617+G618+G615+G620+G621</f>
        <v>2784613</v>
      </c>
      <c r="H610" s="93">
        <v>2508026.6</v>
      </c>
      <c r="I610" s="93">
        <f>G610-H610</f>
        <v>276586.3999999999</v>
      </c>
      <c r="J610" s="374"/>
      <c r="K610" s="252"/>
    </row>
    <row r="611" spans="1:11" s="5" customFormat="1" ht="38.25" hidden="1">
      <c r="A611" s="193" t="s">
        <v>317</v>
      </c>
      <c r="B611" s="28" t="s">
        <v>147</v>
      </c>
      <c r="C611" s="44" t="s">
        <v>384</v>
      </c>
      <c r="D611" s="36" t="s">
        <v>255</v>
      </c>
      <c r="E611" s="36"/>
      <c r="F611" s="36"/>
      <c r="G611" s="93">
        <f>G612</f>
        <v>0</v>
      </c>
      <c r="H611" s="154">
        <f>H612</f>
        <v>0</v>
      </c>
      <c r="I611" s="154">
        <f>I612</f>
        <v>0</v>
      </c>
      <c r="J611" s="237"/>
      <c r="K611" s="14"/>
    </row>
    <row r="612" spans="1:10" s="5" customFormat="1" ht="25.5" customHeight="1" hidden="1">
      <c r="A612" s="24" t="s">
        <v>364</v>
      </c>
      <c r="B612" s="25" t="s">
        <v>147</v>
      </c>
      <c r="C612" s="44" t="s">
        <v>384</v>
      </c>
      <c r="D612" s="44" t="s">
        <v>377</v>
      </c>
      <c r="E612" s="44" t="s">
        <v>206</v>
      </c>
      <c r="F612" s="44"/>
      <c r="G612" s="87"/>
      <c r="H612" s="87"/>
      <c r="I612" s="93">
        <f aca="true" t="shared" si="27" ref="I612:I618">G612-H612</f>
        <v>0</v>
      </c>
      <c r="J612" s="247"/>
    </row>
    <row r="613" spans="1:10" s="5" customFormat="1" ht="25.5" customHeight="1" hidden="1">
      <c r="A613" s="24" t="s">
        <v>710</v>
      </c>
      <c r="B613" s="25"/>
      <c r="C613" s="44"/>
      <c r="D613" s="44"/>
      <c r="E613" s="44"/>
      <c r="F613" s="44"/>
      <c r="G613" s="87">
        <f>47216</f>
        <v>47216</v>
      </c>
      <c r="H613" s="87"/>
      <c r="I613" s="87">
        <f t="shared" si="27"/>
        <v>47216</v>
      </c>
      <c r="J613" s="247"/>
    </row>
    <row r="614" spans="1:10" s="5" customFormat="1" ht="25.5" customHeight="1" hidden="1">
      <c r="A614" s="24" t="s">
        <v>711</v>
      </c>
      <c r="B614" s="25"/>
      <c r="C614" s="44"/>
      <c r="D614" s="44"/>
      <c r="E614" s="44"/>
      <c r="F614" s="44"/>
      <c r="G614" s="87">
        <v>424029</v>
      </c>
      <c r="H614" s="87"/>
      <c r="I614" s="87">
        <f t="shared" si="27"/>
        <v>424029</v>
      </c>
      <c r="J614" s="247"/>
    </row>
    <row r="615" spans="1:10" s="5" customFormat="1" ht="25.5" customHeight="1" hidden="1">
      <c r="A615" s="24" t="s">
        <v>774</v>
      </c>
      <c r="B615" s="25"/>
      <c r="C615" s="44"/>
      <c r="D615" s="44"/>
      <c r="E615" s="44"/>
      <c r="F615" s="44"/>
      <c r="G615" s="87">
        <v>5020</v>
      </c>
      <c r="H615" s="87"/>
      <c r="I615" s="87">
        <f t="shared" si="27"/>
        <v>5020</v>
      </c>
      <c r="J615" s="247"/>
    </row>
    <row r="616" spans="1:10" s="5" customFormat="1" ht="25.5" customHeight="1" hidden="1">
      <c r="A616" s="24" t="s">
        <v>685</v>
      </c>
      <c r="B616" s="25"/>
      <c r="C616" s="44"/>
      <c r="D616" s="44"/>
      <c r="E616" s="44"/>
      <c r="F616" s="44"/>
      <c r="G616" s="87">
        <f>300000-149040.61+44784+25011.61-5020-19180</f>
        <v>196555</v>
      </c>
      <c r="H616" s="87"/>
      <c r="I616" s="87">
        <f t="shared" si="27"/>
        <v>196555</v>
      </c>
      <c r="J616" s="247"/>
    </row>
    <row r="617" spans="1:10" s="5" customFormat="1" ht="25.5" customHeight="1" hidden="1">
      <c r="A617" s="24" t="s">
        <v>742</v>
      </c>
      <c r="B617" s="25"/>
      <c r="C617" s="44"/>
      <c r="D617" s="44"/>
      <c r="E617" s="44"/>
      <c r="F617" s="44"/>
      <c r="G617" s="87">
        <v>21000</v>
      </c>
      <c r="H617" s="87"/>
      <c r="I617" s="87">
        <f t="shared" si="27"/>
        <v>21000</v>
      </c>
      <c r="J617" s="247"/>
    </row>
    <row r="618" spans="1:10" s="5" customFormat="1" ht="25.5" customHeight="1" hidden="1">
      <c r="A618" s="24" t="s">
        <v>743</v>
      </c>
      <c r="B618" s="25"/>
      <c r="C618" s="44"/>
      <c r="D618" s="44"/>
      <c r="E618" s="44"/>
      <c r="F618" s="44"/>
      <c r="G618" s="87">
        <v>59020</v>
      </c>
      <c r="H618" s="87"/>
      <c r="I618" s="87">
        <f t="shared" si="27"/>
        <v>59020</v>
      </c>
      <c r="J618" s="247"/>
    </row>
    <row r="619" spans="1:10" s="5" customFormat="1" ht="25.5" customHeight="1" hidden="1">
      <c r="A619" s="449" t="s">
        <v>777</v>
      </c>
      <c r="B619" s="25"/>
      <c r="C619" s="44"/>
      <c r="D619" s="44"/>
      <c r="E619" s="44"/>
      <c r="F619" s="44"/>
      <c r="G619" s="87">
        <f>915477-17697</f>
        <v>897780</v>
      </c>
      <c r="H619" s="87"/>
      <c r="I619" s="87">
        <f>G619-H619</f>
        <v>897780</v>
      </c>
      <c r="J619" s="247"/>
    </row>
    <row r="620" spans="1:10" s="5" customFormat="1" ht="25.5" customHeight="1" hidden="1">
      <c r="A620" s="449" t="s">
        <v>839</v>
      </c>
      <c r="B620" s="25"/>
      <c r="C620" s="44"/>
      <c r="D620" s="44"/>
      <c r="E620" s="44"/>
      <c r="F620" s="44"/>
      <c r="G620" s="87">
        <f>598596-12014.4</f>
        <v>586581.6</v>
      </c>
      <c r="H620" s="87"/>
      <c r="I620" s="87">
        <f>G620-H620</f>
        <v>586581.6</v>
      </c>
      <c r="J620" s="247"/>
    </row>
    <row r="621" spans="1:10" s="5" customFormat="1" ht="25.5" customHeight="1" hidden="1">
      <c r="A621" s="449" t="s">
        <v>865</v>
      </c>
      <c r="B621" s="25"/>
      <c r="C621" s="44"/>
      <c r="D621" s="44"/>
      <c r="E621" s="44"/>
      <c r="F621" s="44"/>
      <c r="G621" s="87">
        <f>17697+12014.4+517500+200</f>
        <v>547411.4</v>
      </c>
      <c r="H621" s="87"/>
      <c r="I621" s="87">
        <f>G621-H621</f>
        <v>547411.4</v>
      </c>
      <c r="J621" s="247"/>
    </row>
    <row r="622" spans="1:10" s="434" customFormat="1" ht="25.5" customHeight="1">
      <c r="A622" s="413" t="s">
        <v>652</v>
      </c>
      <c r="B622" s="432"/>
      <c r="C622" s="327" t="s">
        <v>653</v>
      </c>
      <c r="D622" s="327"/>
      <c r="E622" s="327"/>
      <c r="F622" s="327"/>
      <c r="G622" s="328">
        <f>G623+G627+G629</f>
        <v>44791650</v>
      </c>
      <c r="H622" s="328">
        <f>H623+H627+H629</f>
        <v>9511341.68</v>
      </c>
      <c r="I622" s="328">
        <f>I623+I627+I629</f>
        <v>35280308.32</v>
      </c>
      <c r="J622" s="433"/>
    </row>
    <row r="623" spans="1:10" s="14" customFormat="1" ht="25.5" customHeight="1">
      <c r="A623" s="212" t="s">
        <v>704</v>
      </c>
      <c r="B623" s="36" t="s">
        <v>147</v>
      </c>
      <c r="C623" s="36" t="s">
        <v>653</v>
      </c>
      <c r="D623" s="36" t="s">
        <v>206</v>
      </c>
      <c r="E623" s="36" t="s">
        <v>54</v>
      </c>
      <c r="F623" s="36" t="s">
        <v>521</v>
      </c>
      <c r="G623" s="93">
        <f>G624+G626+G625</f>
        <v>38878053.81</v>
      </c>
      <c r="H623" s="93">
        <v>6513024</v>
      </c>
      <c r="I623" s="93">
        <f>G623-H623</f>
        <v>32365029.810000002</v>
      </c>
      <c r="J623" s="242"/>
    </row>
    <row r="624" spans="1:10" s="14" customFormat="1" ht="25.5" customHeight="1" hidden="1">
      <c r="A624" s="428" t="s">
        <v>806</v>
      </c>
      <c r="B624" s="221"/>
      <c r="C624" s="221"/>
      <c r="D624" s="221"/>
      <c r="E624" s="221"/>
      <c r="F624" s="221"/>
      <c r="G624" s="87">
        <f>3256861+447171.32</f>
        <v>3704032.32</v>
      </c>
      <c r="H624" s="93"/>
      <c r="I624" s="87">
        <f>G624-H624</f>
        <v>3704032.32</v>
      </c>
      <c r="J624" s="419"/>
    </row>
    <row r="625" spans="1:10" s="14" customFormat="1" ht="25.5" customHeight="1" hidden="1">
      <c r="A625" s="428" t="s">
        <v>802</v>
      </c>
      <c r="B625" s="221"/>
      <c r="C625" s="221"/>
      <c r="D625" s="221"/>
      <c r="E625" s="221"/>
      <c r="F625" s="221"/>
      <c r="G625" s="87">
        <f>19636081-3256861-4566432.67+4566432.67</f>
        <v>16379220</v>
      </c>
      <c r="H625" s="93"/>
      <c r="I625" s="87">
        <f>G625-H625</f>
        <v>16379220</v>
      </c>
      <c r="J625" s="242"/>
    </row>
    <row r="626" spans="1:10" s="14" customFormat="1" ht="25.5" customHeight="1" hidden="1">
      <c r="A626" s="428" t="s">
        <v>801</v>
      </c>
      <c r="B626" s="44"/>
      <c r="C626" s="36"/>
      <c r="D626" s="36"/>
      <c r="E626" s="36"/>
      <c r="F626" s="36"/>
      <c r="G626" s="87">
        <f>17230000+1564801.49</f>
        <v>18794801.49</v>
      </c>
      <c r="H626" s="87">
        <v>18794801.49</v>
      </c>
      <c r="I626" s="87">
        <f>G626-H626</f>
        <v>0</v>
      </c>
      <c r="J626" s="242"/>
    </row>
    <row r="627" spans="1:10" s="5" customFormat="1" ht="25.5" customHeight="1">
      <c r="A627" s="212" t="s">
        <v>705</v>
      </c>
      <c r="B627" s="36" t="s">
        <v>147</v>
      </c>
      <c r="C627" s="36" t="s">
        <v>653</v>
      </c>
      <c r="D627" s="36" t="s">
        <v>206</v>
      </c>
      <c r="E627" s="36" t="s">
        <v>54</v>
      </c>
      <c r="F627" s="36" t="s">
        <v>188</v>
      </c>
      <c r="G627" s="93">
        <f>G628</f>
        <v>2915278.51</v>
      </c>
      <c r="H627" s="93">
        <f>H628</f>
        <v>0</v>
      </c>
      <c r="I627" s="93">
        <f>I628</f>
        <v>2915278.51</v>
      </c>
      <c r="J627" s="247"/>
    </row>
    <row r="628" spans="1:10" s="5" customFormat="1" ht="25.5" customHeight="1">
      <c r="A628" s="428" t="s">
        <v>703</v>
      </c>
      <c r="B628" s="25"/>
      <c r="C628" s="44"/>
      <c r="D628" s="44"/>
      <c r="E628" s="44"/>
      <c r="F628" s="44"/>
      <c r="G628" s="87">
        <f>4480080-1564801.49</f>
        <v>2915278.51</v>
      </c>
      <c r="H628" s="87">
        <v>0</v>
      </c>
      <c r="I628" s="87">
        <f>G628-H628</f>
        <v>2915278.51</v>
      </c>
      <c r="J628" s="247"/>
    </row>
    <row r="629" spans="1:10" s="5" customFormat="1" ht="25.5" customHeight="1">
      <c r="A629" s="212" t="s">
        <v>704</v>
      </c>
      <c r="B629" s="36" t="s">
        <v>147</v>
      </c>
      <c r="C629" s="36" t="s">
        <v>653</v>
      </c>
      <c r="D629" s="36" t="s">
        <v>206</v>
      </c>
      <c r="E629" s="36" t="s">
        <v>70</v>
      </c>
      <c r="F629" s="36" t="s">
        <v>521</v>
      </c>
      <c r="G629" s="93">
        <f>G630+G631</f>
        <v>2998317.68</v>
      </c>
      <c r="H629" s="93">
        <f>H630+H631</f>
        <v>2998317.68</v>
      </c>
      <c r="I629" s="93">
        <f>I630+I631</f>
        <v>0</v>
      </c>
      <c r="J629" s="247"/>
    </row>
    <row r="630" spans="1:10" s="5" customFormat="1" ht="25.5" customHeight="1" hidden="1">
      <c r="A630" s="353" t="s">
        <v>805</v>
      </c>
      <c r="B630" s="25"/>
      <c r="C630" s="44"/>
      <c r="D630" s="44"/>
      <c r="E630" s="44"/>
      <c r="F630" s="44"/>
      <c r="G630" s="87">
        <f>3445489-447171.32</f>
        <v>2998317.68</v>
      </c>
      <c r="H630" s="87">
        <v>2998317.68</v>
      </c>
      <c r="I630" s="87">
        <f>G630-H630</f>
        <v>0</v>
      </c>
      <c r="J630" s="247"/>
    </row>
    <row r="631" spans="1:10" s="5" customFormat="1" ht="25.5" customHeight="1" hidden="1">
      <c r="A631" s="353"/>
      <c r="B631" s="25"/>
      <c r="C631" s="44"/>
      <c r="D631" s="44"/>
      <c r="E631" s="44"/>
      <c r="F631" s="44"/>
      <c r="G631" s="87"/>
      <c r="H631" s="87"/>
      <c r="I631" s="87"/>
      <c r="J631" s="247"/>
    </row>
    <row r="632" spans="1:11" s="5" customFormat="1" ht="45" customHeight="1">
      <c r="A632" s="431" t="s">
        <v>867</v>
      </c>
      <c r="B632" s="25" t="s">
        <v>147</v>
      </c>
      <c r="C632" s="44" t="s">
        <v>726</v>
      </c>
      <c r="D632" s="44" t="s">
        <v>206</v>
      </c>
      <c r="E632" s="44" t="s">
        <v>54</v>
      </c>
      <c r="F632" s="44" t="s">
        <v>362</v>
      </c>
      <c r="G632" s="87">
        <v>1500000</v>
      </c>
      <c r="H632" s="83"/>
      <c r="I632" s="87">
        <f>G632-H632</f>
        <v>1500000</v>
      </c>
      <c r="J632" s="393"/>
      <c r="K632" s="279"/>
    </row>
    <row r="633" spans="1:10" s="5" customFormat="1" ht="35.25" customHeight="1">
      <c r="A633" s="266" t="s">
        <v>868</v>
      </c>
      <c r="B633" s="25" t="s">
        <v>147</v>
      </c>
      <c r="C633" s="44" t="s">
        <v>727</v>
      </c>
      <c r="D633" s="44" t="s">
        <v>206</v>
      </c>
      <c r="E633" s="44" t="s">
        <v>54</v>
      </c>
      <c r="F633" s="44" t="s">
        <v>362</v>
      </c>
      <c r="G633" s="87">
        <v>400000</v>
      </c>
      <c r="H633" s="83"/>
      <c r="I633" s="87">
        <f>G633-H633</f>
        <v>400000</v>
      </c>
      <c r="J633" s="247"/>
    </row>
    <row r="634" spans="1:10" s="5" customFormat="1" ht="43.5" customHeight="1" hidden="1">
      <c r="A634" s="266" t="s">
        <v>546</v>
      </c>
      <c r="B634" s="25" t="s">
        <v>147</v>
      </c>
      <c r="C634" s="44"/>
      <c r="D634" s="44" t="s">
        <v>206</v>
      </c>
      <c r="E634" s="44" t="s">
        <v>54</v>
      </c>
      <c r="F634" s="44" t="s">
        <v>521</v>
      </c>
      <c r="G634" s="87"/>
      <c r="H634" s="83"/>
      <c r="I634" s="87">
        <f>G634-H634</f>
        <v>0</v>
      </c>
      <c r="J634" s="247"/>
    </row>
    <row r="635" spans="1:17" s="5" customFormat="1" ht="46.5" customHeight="1">
      <c r="A635" s="311" t="s">
        <v>507</v>
      </c>
      <c r="B635" s="254" t="s">
        <v>147</v>
      </c>
      <c r="C635" s="254"/>
      <c r="D635" s="310"/>
      <c r="E635" s="310"/>
      <c r="F635" s="310"/>
      <c r="G635" s="255">
        <f>G641+G642+G643+G644</f>
        <v>4696816</v>
      </c>
      <c r="H635" s="255">
        <f>H641+H642+H643+H644</f>
        <v>4696816</v>
      </c>
      <c r="I635" s="255">
        <f>I641+I642+I643+I644</f>
        <v>0</v>
      </c>
      <c r="J635" s="247"/>
      <c r="K635" s="244"/>
      <c r="L635" s="244"/>
      <c r="M635" s="244"/>
      <c r="N635" s="244"/>
      <c r="O635" s="244"/>
      <c r="P635" s="244"/>
      <c r="Q635" s="244"/>
    </row>
    <row r="636" spans="1:10" s="5" customFormat="1" ht="38.25" hidden="1">
      <c r="A636" s="186" t="s">
        <v>297</v>
      </c>
      <c r="B636" s="28" t="s">
        <v>147</v>
      </c>
      <c r="C636" s="233" t="s">
        <v>329</v>
      </c>
      <c r="D636" s="36" t="s">
        <v>281</v>
      </c>
      <c r="E636" s="109"/>
      <c r="F636" s="109"/>
      <c r="G636" s="154">
        <f>G637</f>
        <v>0</v>
      </c>
      <c r="H636" s="154">
        <f aca="true" t="shared" si="28" ref="H636:I638">H637</f>
        <v>0</v>
      </c>
      <c r="I636" s="154">
        <f t="shared" si="28"/>
        <v>0</v>
      </c>
      <c r="J636" s="237"/>
    </row>
    <row r="637" spans="1:10" s="5" customFormat="1" ht="32.25" customHeight="1" hidden="1">
      <c r="A637" s="186" t="s">
        <v>287</v>
      </c>
      <c r="B637" s="28" t="s">
        <v>147</v>
      </c>
      <c r="C637" s="233" t="s">
        <v>356</v>
      </c>
      <c r="D637" s="36" t="s">
        <v>206</v>
      </c>
      <c r="E637" s="44"/>
      <c r="F637" s="44"/>
      <c r="G637" s="137">
        <f>G638</f>
        <v>0</v>
      </c>
      <c r="H637" s="137">
        <f t="shared" si="28"/>
        <v>0</v>
      </c>
      <c r="I637" s="137">
        <f t="shared" si="28"/>
        <v>0</v>
      </c>
      <c r="J637" s="237"/>
    </row>
    <row r="638" spans="1:10" s="5" customFormat="1" ht="24" customHeight="1" hidden="1">
      <c r="A638" s="24" t="s">
        <v>42</v>
      </c>
      <c r="B638" s="25" t="s">
        <v>147</v>
      </c>
      <c r="C638" s="234" t="s">
        <v>356</v>
      </c>
      <c r="D638" s="44" t="s">
        <v>206</v>
      </c>
      <c r="E638" s="44" t="s">
        <v>43</v>
      </c>
      <c r="F638" s="36"/>
      <c r="G638" s="83">
        <f>G639</f>
        <v>0</v>
      </c>
      <c r="H638" s="83">
        <f t="shared" si="28"/>
        <v>0</v>
      </c>
      <c r="I638" s="83">
        <f t="shared" si="28"/>
        <v>0</v>
      </c>
      <c r="J638" s="237"/>
    </row>
    <row r="639" spans="1:10" s="5" customFormat="1" ht="24.75" customHeight="1" hidden="1">
      <c r="A639" s="24" t="s">
        <v>330</v>
      </c>
      <c r="B639" s="25" t="s">
        <v>147</v>
      </c>
      <c r="C639" s="234" t="s">
        <v>356</v>
      </c>
      <c r="D639" s="44" t="s">
        <v>206</v>
      </c>
      <c r="E639" s="44" t="s">
        <v>43</v>
      </c>
      <c r="F639" s="44" t="s">
        <v>182</v>
      </c>
      <c r="G639" s="83">
        <v>0</v>
      </c>
      <c r="H639" s="83"/>
      <c r="I639" s="140"/>
      <c r="J639" s="237"/>
    </row>
    <row r="640" spans="1:10" s="5" customFormat="1" ht="30.75" customHeight="1" hidden="1">
      <c r="A640" s="24" t="s">
        <v>395</v>
      </c>
      <c r="B640" s="25" t="s">
        <v>147</v>
      </c>
      <c r="C640" s="44" t="s">
        <v>426</v>
      </c>
      <c r="D640" s="25" t="s">
        <v>206</v>
      </c>
      <c r="E640" s="28" t="s">
        <v>416</v>
      </c>
      <c r="F640" s="25" t="s">
        <v>182</v>
      </c>
      <c r="G640" s="87">
        <v>0</v>
      </c>
      <c r="H640" s="83"/>
      <c r="I640" s="83">
        <f aca="true" t="shared" si="29" ref="I640:I645">G640-H640</f>
        <v>0</v>
      </c>
      <c r="J640" s="237"/>
    </row>
    <row r="641" spans="1:10" s="5" customFormat="1" ht="55.5" customHeight="1">
      <c r="A641" s="24" t="s">
        <v>509</v>
      </c>
      <c r="B641" s="25" t="s">
        <v>147</v>
      </c>
      <c r="C641" s="44" t="s">
        <v>602</v>
      </c>
      <c r="D641" s="25" t="s">
        <v>206</v>
      </c>
      <c r="E641" s="277" t="s">
        <v>773</v>
      </c>
      <c r="F641" s="25" t="s">
        <v>188</v>
      </c>
      <c r="G641" s="87">
        <f>4567811.45-371420.81-53921.14-157128.88</f>
        <v>3985340.6200000006</v>
      </c>
      <c r="H641" s="83">
        <f>3985340.62</f>
        <v>3985340.62</v>
      </c>
      <c r="I641" s="83">
        <f t="shared" si="29"/>
        <v>0</v>
      </c>
      <c r="J641" s="394"/>
    </row>
    <row r="642" spans="1:10" s="5" customFormat="1" ht="51.75" customHeight="1">
      <c r="A642" s="24" t="s">
        <v>508</v>
      </c>
      <c r="B642" s="25" t="s">
        <v>147</v>
      </c>
      <c r="C642" s="44" t="s">
        <v>602</v>
      </c>
      <c r="D642" s="25" t="s">
        <v>206</v>
      </c>
      <c r="E642" s="277" t="s">
        <v>773</v>
      </c>
      <c r="F642" s="25" t="s">
        <v>188</v>
      </c>
      <c r="G642" s="87">
        <f>4500000-3816866.64-8777.86-25579.12</f>
        <v>648776.3799999999</v>
      </c>
      <c r="H642" s="83">
        <f>648776.38</f>
        <v>648776.38</v>
      </c>
      <c r="I642" s="83">
        <f t="shared" si="29"/>
        <v>0</v>
      </c>
      <c r="J642" s="394"/>
    </row>
    <row r="643" spans="1:10" s="5" customFormat="1" ht="51.75" customHeight="1">
      <c r="A643" s="24" t="s">
        <v>870</v>
      </c>
      <c r="B643" s="25" t="s">
        <v>147</v>
      </c>
      <c r="C643" s="44" t="s">
        <v>602</v>
      </c>
      <c r="D643" s="25" t="s">
        <v>206</v>
      </c>
      <c r="E643" s="277" t="s">
        <v>872</v>
      </c>
      <c r="F643" s="25" t="s">
        <v>191</v>
      </c>
      <c r="G643" s="87">
        <v>53921.14</v>
      </c>
      <c r="H643" s="83">
        <f>53921.14</f>
        <v>53921.14</v>
      </c>
      <c r="I643" s="83">
        <f t="shared" si="29"/>
        <v>0</v>
      </c>
      <c r="J643" s="394"/>
    </row>
    <row r="644" spans="1:10" s="5" customFormat="1" ht="51.75" customHeight="1">
      <c r="A644" s="24" t="s">
        <v>871</v>
      </c>
      <c r="B644" s="25" t="s">
        <v>147</v>
      </c>
      <c r="C644" s="44" t="s">
        <v>602</v>
      </c>
      <c r="D644" s="25" t="s">
        <v>206</v>
      </c>
      <c r="E644" s="277" t="s">
        <v>872</v>
      </c>
      <c r="F644" s="25" t="s">
        <v>191</v>
      </c>
      <c r="G644" s="87">
        <v>8777.86</v>
      </c>
      <c r="H644" s="83">
        <f>8777.86</f>
        <v>8777.86</v>
      </c>
      <c r="I644" s="83">
        <f t="shared" si="29"/>
        <v>0</v>
      </c>
      <c r="J644" s="394"/>
    </row>
    <row r="645" spans="1:53" s="14" customFormat="1" ht="12.75">
      <c r="A645" s="74" t="s">
        <v>148</v>
      </c>
      <c r="B645" s="50" t="s">
        <v>149</v>
      </c>
      <c r="C645" s="50"/>
      <c r="D645" s="50"/>
      <c r="E645" s="50"/>
      <c r="F645" s="50"/>
      <c r="G645" s="91">
        <f>G647</f>
        <v>2665208.32</v>
      </c>
      <c r="H645" s="91">
        <f>H647</f>
        <v>2412029.03</v>
      </c>
      <c r="I645" s="91">
        <f t="shared" si="29"/>
        <v>253179.29000000004</v>
      </c>
      <c r="J645" s="386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  <c r="AA645" s="138"/>
      <c r="AB645" s="138"/>
      <c r="AC645" s="138"/>
      <c r="AD645" s="138"/>
      <c r="AE645" s="138"/>
      <c r="AF645" s="138"/>
      <c r="AG645" s="138"/>
      <c r="AH645" s="138"/>
      <c r="AI645" s="138"/>
      <c r="AJ645" s="138"/>
      <c r="AK645" s="138"/>
      <c r="AL645" s="138"/>
      <c r="AM645" s="138"/>
      <c r="AN645" s="138"/>
      <c r="AO645" s="138"/>
      <c r="AP645" s="138"/>
      <c r="AQ645" s="138"/>
      <c r="AR645" s="138"/>
      <c r="AS645" s="138"/>
      <c r="AT645" s="138"/>
      <c r="AU645" s="138"/>
      <c r="AV645" s="138"/>
      <c r="AW645" s="138"/>
      <c r="AX645" s="138"/>
      <c r="AY645" s="138"/>
      <c r="AZ645" s="138"/>
      <c r="BA645" s="138"/>
    </row>
    <row r="646" spans="1:10" s="5" customFormat="1" ht="26.25" thickBot="1">
      <c r="A646" s="106" t="s">
        <v>231</v>
      </c>
      <c r="B646" s="36"/>
      <c r="C646" s="36"/>
      <c r="D646" s="36"/>
      <c r="E646" s="36"/>
      <c r="F646" s="36"/>
      <c r="G646" s="87"/>
      <c r="H646" s="87"/>
      <c r="I646" s="140"/>
      <c r="J646" s="237"/>
    </row>
    <row r="647" spans="1:10" s="14" customFormat="1" ht="54" customHeight="1" thickBot="1">
      <c r="A647" s="325" t="s">
        <v>510</v>
      </c>
      <c r="B647" s="254" t="s">
        <v>165</v>
      </c>
      <c r="C647" s="254"/>
      <c r="D647" s="254"/>
      <c r="E647" s="254"/>
      <c r="F647" s="254"/>
      <c r="G647" s="255">
        <f>G648+G653+G664+G667+G670+G676+G662</f>
        <v>2665208.32</v>
      </c>
      <c r="H647" s="255">
        <f>H648+H653+H664+H667+H670+H676+H662</f>
        <v>2412029.03</v>
      </c>
      <c r="I647" s="255">
        <f>I648+I653+I664+I667+I670+I676+I662</f>
        <v>253179.28999999998</v>
      </c>
      <c r="J647" s="386"/>
    </row>
    <row r="648" spans="1:10" s="14" customFormat="1" ht="20.25" customHeight="1">
      <c r="A648" s="332"/>
      <c r="B648" s="136" t="s">
        <v>165</v>
      </c>
      <c r="C648" s="136" t="s">
        <v>592</v>
      </c>
      <c r="D648" s="136" t="s">
        <v>82</v>
      </c>
      <c r="E648" s="136" t="s">
        <v>54</v>
      </c>
      <c r="F648" s="136" t="s">
        <v>194</v>
      </c>
      <c r="G648" s="87">
        <v>45000</v>
      </c>
      <c r="H648" s="87">
        <v>45000</v>
      </c>
      <c r="I648" s="87">
        <f>G648-H648</f>
        <v>0</v>
      </c>
      <c r="J648" s="386"/>
    </row>
    <row r="649" spans="1:10" s="5" customFormat="1" ht="51" hidden="1">
      <c r="A649" s="186" t="s">
        <v>287</v>
      </c>
      <c r="B649" s="129" t="s">
        <v>165</v>
      </c>
      <c r="C649" s="136" t="s">
        <v>592</v>
      </c>
      <c r="D649" s="129" t="s">
        <v>206</v>
      </c>
      <c r="E649" s="129" t="s">
        <v>28</v>
      </c>
      <c r="F649" s="129" t="s">
        <v>177</v>
      </c>
      <c r="G649" s="101"/>
      <c r="H649" s="101"/>
      <c r="I649" s="101"/>
      <c r="J649" s="237"/>
    </row>
    <row r="650" spans="1:10" s="124" customFormat="1" ht="38.25" hidden="1">
      <c r="A650" s="186" t="s">
        <v>297</v>
      </c>
      <c r="B650" s="129" t="s">
        <v>165</v>
      </c>
      <c r="C650" s="136" t="s">
        <v>592</v>
      </c>
      <c r="D650" s="129" t="s">
        <v>206</v>
      </c>
      <c r="E650" s="129" t="s">
        <v>66</v>
      </c>
      <c r="F650" s="129" t="s">
        <v>190</v>
      </c>
      <c r="G650" s="101"/>
      <c r="H650" s="101"/>
      <c r="I650" s="101"/>
      <c r="J650" s="237"/>
    </row>
    <row r="651" spans="1:10" s="124" customFormat="1" ht="51" hidden="1">
      <c r="A651" s="186" t="s">
        <v>287</v>
      </c>
      <c r="B651" s="129" t="s">
        <v>165</v>
      </c>
      <c r="C651" s="136" t="s">
        <v>592</v>
      </c>
      <c r="D651" s="129" t="s">
        <v>206</v>
      </c>
      <c r="E651" s="129" t="s">
        <v>66</v>
      </c>
      <c r="F651" s="129" t="s">
        <v>194</v>
      </c>
      <c r="G651" s="101"/>
      <c r="H651" s="101"/>
      <c r="I651" s="101"/>
      <c r="J651" s="237"/>
    </row>
    <row r="652" spans="1:10" s="124" customFormat="1" ht="38.25" hidden="1">
      <c r="A652" s="186" t="s">
        <v>297</v>
      </c>
      <c r="B652" s="136" t="s">
        <v>165</v>
      </c>
      <c r="C652" s="136" t="s">
        <v>592</v>
      </c>
      <c r="D652" s="136" t="s">
        <v>206</v>
      </c>
      <c r="E652" s="136" t="s">
        <v>66</v>
      </c>
      <c r="F652" s="136" t="s">
        <v>194</v>
      </c>
      <c r="G652" s="137"/>
      <c r="H652" s="137"/>
      <c r="I652" s="137"/>
      <c r="J652" s="237"/>
    </row>
    <row r="653" spans="1:10" s="138" customFormat="1" ht="12.75">
      <c r="A653" s="336" t="s">
        <v>53</v>
      </c>
      <c r="B653" s="327" t="s">
        <v>165</v>
      </c>
      <c r="C653" s="327" t="s">
        <v>592</v>
      </c>
      <c r="D653" s="327" t="s">
        <v>206</v>
      </c>
      <c r="E653" s="327" t="s">
        <v>54</v>
      </c>
      <c r="F653" s="327" t="s">
        <v>188</v>
      </c>
      <c r="G653" s="328">
        <f>G657+G658+G659+G660+G661</f>
        <v>1133100</v>
      </c>
      <c r="H653" s="328">
        <v>969856.91</v>
      </c>
      <c r="I653" s="328">
        <f>G653-H653</f>
        <v>163243.08999999997</v>
      </c>
      <c r="J653" s="247"/>
    </row>
    <row r="654" spans="1:10" s="138" customFormat="1" ht="12.75" hidden="1">
      <c r="A654" s="195" t="s">
        <v>65</v>
      </c>
      <c r="B654" s="192" t="s">
        <v>165</v>
      </c>
      <c r="C654" s="136" t="s">
        <v>592</v>
      </c>
      <c r="D654" s="192" t="s">
        <v>206</v>
      </c>
      <c r="E654" s="192" t="s">
        <v>388</v>
      </c>
      <c r="F654" s="192"/>
      <c r="G654" s="87"/>
      <c r="H654" s="137"/>
      <c r="I654" s="137">
        <f>I655+I656</f>
        <v>0</v>
      </c>
      <c r="J654" s="237"/>
    </row>
    <row r="655" spans="1:10" s="138" customFormat="1" ht="25.5" hidden="1">
      <c r="A655" s="135" t="s">
        <v>259</v>
      </c>
      <c r="B655" s="136" t="s">
        <v>165</v>
      </c>
      <c r="C655" s="136" t="s">
        <v>592</v>
      </c>
      <c r="D655" s="136" t="s">
        <v>206</v>
      </c>
      <c r="E655" s="136" t="s">
        <v>388</v>
      </c>
      <c r="F655" s="136" t="s">
        <v>190</v>
      </c>
      <c r="G655" s="87"/>
      <c r="H655" s="137"/>
      <c r="I655" s="137">
        <f>G655-H655</f>
        <v>0</v>
      </c>
      <c r="J655" s="237"/>
    </row>
    <row r="656" spans="1:11" s="138" customFormat="1" ht="12.75" hidden="1">
      <c r="A656" s="135" t="s">
        <v>53</v>
      </c>
      <c r="B656" s="136" t="s">
        <v>165</v>
      </c>
      <c r="C656" s="136" t="s">
        <v>592</v>
      </c>
      <c r="D656" s="136" t="s">
        <v>206</v>
      </c>
      <c r="E656" s="136" t="s">
        <v>388</v>
      </c>
      <c r="F656" s="136" t="s">
        <v>194</v>
      </c>
      <c r="G656" s="87"/>
      <c r="H656" s="137"/>
      <c r="I656" s="225"/>
      <c r="J656" s="297"/>
      <c r="K656" s="105"/>
    </row>
    <row r="657" spans="1:11" s="138" customFormat="1" ht="12.75" hidden="1">
      <c r="A657" s="135" t="s">
        <v>622</v>
      </c>
      <c r="B657" s="136"/>
      <c r="C657" s="136"/>
      <c r="D657" s="136"/>
      <c r="E657" s="136"/>
      <c r="F657" s="136"/>
      <c r="G657" s="87">
        <f>675000-59248.48</f>
        <v>615751.52</v>
      </c>
      <c r="H657" s="137">
        <f>160390.36+149406.78+86643.55+70284.16+115379.34+109615.47</f>
        <v>691719.6599999999</v>
      </c>
      <c r="I657" s="87">
        <f>G657-H657</f>
        <v>-75968.1399999999</v>
      </c>
      <c r="J657" s="297"/>
      <c r="K657" s="105"/>
    </row>
    <row r="658" spans="1:11" s="138" customFormat="1" ht="12.75" hidden="1">
      <c r="A658" s="135" t="s">
        <v>624</v>
      </c>
      <c r="B658" s="136"/>
      <c r="C658" s="136"/>
      <c r="D658" s="136"/>
      <c r="E658" s="136"/>
      <c r="F658" s="136"/>
      <c r="G658" s="87">
        <f>230000+59248.48</f>
        <v>289248.48</v>
      </c>
      <c r="H658" s="137">
        <v>289248.48</v>
      </c>
      <c r="I658" s="87">
        <f>G658-H658</f>
        <v>0</v>
      </c>
      <c r="J658" s="297"/>
      <c r="K658" s="105"/>
    </row>
    <row r="659" spans="1:11" s="138" customFormat="1" ht="25.5" hidden="1">
      <c r="A659" s="135" t="s">
        <v>658</v>
      </c>
      <c r="B659" s="136"/>
      <c r="C659" s="136"/>
      <c r="D659" s="136"/>
      <c r="E659" s="136"/>
      <c r="F659" s="136"/>
      <c r="G659" s="87">
        <v>28300</v>
      </c>
      <c r="H659" s="137">
        <v>27400</v>
      </c>
      <c r="I659" s="87">
        <f>G659-H659</f>
        <v>900</v>
      </c>
      <c r="J659" s="297"/>
      <c r="K659" s="105"/>
    </row>
    <row r="660" spans="1:11" s="138" customFormat="1" ht="12.75" hidden="1">
      <c r="A660" s="135" t="s">
        <v>529</v>
      </c>
      <c r="B660" s="136"/>
      <c r="C660" s="136"/>
      <c r="D660" s="136"/>
      <c r="E660" s="136"/>
      <c r="F660" s="136"/>
      <c r="G660" s="87">
        <f>195000-15200</f>
        <v>179800</v>
      </c>
      <c r="H660" s="137"/>
      <c r="I660" s="87">
        <f>G660-H660</f>
        <v>179800</v>
      </c>
      <c r="J660" s="297"/>
      <c r="K660" s="105"/>
    </row>
    <row r="661" spans="1:11" s="138" customFormat="1" ht="25.5" hidden="1">
      <c r="A661" s="135" t="s">
        <v>699</v>
      </c>
      <c r="B661" s="136"/>
      <c r="C661" s="136"/>
      <c r="D661" s="136"/>
      <c r="E661" s="136"/>
      <c r="F661" s="136"/>
      <c r="G661" s="87">
        <v>20000</v>
      </c>
      <c r="H661" s="137">
        <v>20000</v>
      </c>
      <c r="I661" s="87">
        <f>G661-H661</f>
        <v>0</v>
      </c>
      <c r="J661" s="297"/>
      <c r="K661" s="105"/>
    </row>
    <row r="662" spans="1:11" s="138" customFormat="1" ht="12.75">
      <c r="A662" s="336" t="s">
        <v>53</v>
      </c>
      <c r="B662" s="327" t="s">
        <v>165</v>
      </c>
      <c r="C662" s="327" t="s">
        <v>592</v>
      </c>
      <c r="D662" s="327" t="s">
        <v>206</v>
      </c>
      <c r="E662" s="327" t="s">
        <v>54</v>
      </c>
      <c r="F662" s="327" t="s">
        <v>500</v>
      </c>
      <c r="G662" s="328">
        <f>G663</f>
        <v>420208.32</v>
      </c>
      <c r="H662" s="328">
        <f>H663</f>
        <v>420208.32</v>
      </c>
      <c r="I662" s="328">
        <f>I663</f>
        <v>0</v>
      </c>
      <c r="J662" s="297"/>
      <c r="K662" s="105"/>
    </row>
    <row r="663" spans="1:11" s="138" customFormat="1" ht="12.75">
      <c r="A663" s="135"/>
      <c r="B663" s="136"/>
      <c r="C663" s="136"/>
      <c r="D663" s="136"/>
      <c r="E663" s="136"/>
      <c r="F663" s="136"/>
      <c r="G663" s="87">
        <v>420208.32</v>
      </c>
      <c r="H663" s="137">
        <v>420208.32</v>
      </c>
      <c r="I663" s="87">
        <f>G663-H663</f>
        <v>0</v>
      </c>
      <c r="J663" s="297"/>
      <c r="K663" s="105"/>
    </row>
    <row r="664" spans="1:11" s="138" customFormat="1" ht="25.5">
      <c r="A664" s="336" t="s">
        <v>198</v>
      </c>
      <c r="B664" s="327" t="s">
        <v>165</v>
      </c>
      <c r="C664" s="327" t="s">
        <v>592</v>
      </c>
      <c r="D664" s="327" t="s">
        <v>206</v>
      </c>
      <c r="E664" s="327" t="s">
        <v>70</v>
      </c>
      <c r="F664" s="327" t="s">
        <v>191</v>
      </c>
      <c r="G664" s="328">
        <f>G665+G666</f>
        <v>0</v>
      </c>
      <c r="H664" s="328">
        <f>H665+H666</f>
        <v>0</v>
      </c>
      <c r="I664" s="328">
        <f>I665+I666</f>
        <v>0</v>
      </c>
      <c r="J664" s="297"/>
      <c r="K664" s="105"/>
    </row>
    <row r="665" spans="1:11" s="14" customFormat="1" ht="12.75">
      <c r="A665" s="24"/>
      <c r="B665" s="44"/>
      <c r="C665" s="44"/>
      <c r="D665" s="44"/>
      <c r="E665" s="44"/>
      <c r="F665" s="44"/>
      <c r="G665" s="87"/>
      <c r="H665" s="87"/>
      <c r="I665" s="87"/>
      <c r="J665" s="105"/>
      <c r="K665" s="105"/>
    </row>
    <row r="666" spans="1:11" s="14" customFormat="1" ht="12.75">
      <c r="A666" s="24"/>
      <c r="B666" s="44"/>
      <c r="C666" s="44"/>
      <c r="D666" s="44"/>
      <c r="E666" s="44"/>
      <c r="F666" s="44"/>
      <c r="G666" s="87"/>
      <c r="H666" s="87"/>
      <c r="I666" s="87"/>
      <c r="J666" s="105"/>
      <c r="K666" s="105"/>
    </row>
    <row r="667" spans="1:11" s="138" customFormat="1" ht="25.5">
      <c r="A667" s="336" t="s">
        <v>244</v>
      </c>
      <c r="B667" s="327" t="s">
        <v>165</v>
      </c>
      <c r="C667" s="327" t="s">
        <v>592</v>
      </c>
      <c r="D667" s="327" t="s">
        <v>206</v>
      </c>
      <c r="E667" s="327" t="s">
        <v>398</v>
      </c>
      <c r="F667" s="327" t="s">
        <v>193</v>
      </c>
      <c r="G667" s="328">
        <f>G668+G669</f>
        <v>26700</v>
      </c>
      <c r="H667" s="328">
        <f>H668+H669</f>
        <v>0</v>
      </c>
      <c r="I667" s="328">
        <f>I668+I669</f>
        <v>26700</v>
      </c>
      <c r="J667" s="297"/>
      <c r="K667" s="105"/>
    </row>
    <row r="668" spans="1:11" s="138" customFormat="1" ht="12.75">
      <c r="A668" s="24"/>
      <c r="B668" s="136"/>
      <c r="C668" s="136"/>
      <c r="D668" s="136"/>
      <c r="E668" s="136"/>
      <c r="F668" s="136"/>
      <c r="G668" s="87">
        <f>30000+25000-28300</f>
        <v>26700</v>
      </c>
      <c r="H668" s="137"/>
      <c r="I668" s="87">
        <f aca="true" t="shared" si="30" ref="I668:I675">G668-H668</f>
        <v>26700</v>
      </c>
      <c r="J668" s="297"/>
      <c r="K668" s="105"/>
    </row>
    <row r="669" spans="1:11" s="138" customFormat="1" ht="12.75">
      <c r="A669" s="24"/>
      <c r="B669" s="136"/>
      <c r="C669" s="136"/>
      <c r="D669" s="136"/>
      <c r="E669" s="136"/>
      <c r="F669" s="136"/>
      <c r="G669" s="87"/>
      <c r="H669" s="137"/>
      <c r="I669" s="87">
        <f t="shared" si="30"/>
        <v>0</v>
      </c>
      <c r="J669" s="297"/>
      <c r="K669" s="105"/>
    </row>
    <row r="670" spans="1:11" s="138" customFormat="1" ht="12" customHeight="1">
      <c r="A670" s="336" t="s">
        <v>259</v>
      </c>
      <c r="B670" s="327" t="s">
        <v>165</v>
      </c>
      <c r="C670" s="327" t="s">
        <v>592</v>
      </c>
      <c r="D670" s="327" t="s">
        <v>206</v>
      </c>
      <c r="E670" s="327" t="s">
        <v>399</v>
      </c>
      <c r="F670" s="327" t="s">
        <v>190</v>
      </c>
      <c r="G670" s="328">
        <f>G671+G672+G673+G675+G674</f>
        <v>355000</v>
      </c>
      <c r="H670" s="328">
        <v>291763.8</v>
      </c>
      <c r="I670" s="328">
        <f t="shared" si="30"/>
        <v>63236.20000000001</v>
      </c>
      <c r="J670" s="297"/>
      <c r="K670" s="105"/>
    </row>
    <row r="671" spans="1:11" s="14" customFormat="1" ht="12.75" hidden="1">
      <c r="A671" s="24" t="s">
        <v>611</v>
      </c>
      <c r="B671" s="36"/>
      <c r="C671" s="36"/>
      <c r="D671" s="36"/>
      <c r="E671" s="36"/>
      <c r="F671" s="36"/>
      <c r="G671" s="87">
        <v>198876.72</v>
      </c>
      <c r="H671" s="87"/>
      <c r="I671" s="87">
        <f t="shared" si="30"/>
        <v>198876.72</v>
      </c>
      <c r="J671" s="105"/>
      <c r="K671" s="105"/>
    </row>
    <row r="672" spans="1:11" s="14" customFormat="1" ht="25.5" hidden="1">
      <c r="A672" s="24" t="s">
        <v>661</v>
      </c>
      <c r="B672" s="36"/>
      <c r="C672" s="36"/>
      <c r="D672" s="36"/>
      <c r="E672" s="36"/>
      <c r="F672" s="36"/>
      <c r="G672" s="87">
        <v>29556</v>
      </c>
      <c r="H672" s="87"/>
      <c r="I672" s="87">
        <f t="shared" si="30"/>
        <v>29556</v>
      </c>
      <c r="J672" s="105"/>
      <c r="K672" s="105"/>
    </row>
    <row r="673" spans="1:11" s="14" customFormat="1" ht="12.75" hidden="1">
      <c r="A673" s="14" t="s">
        <v>665</v>
      </c>
      <c r="B673" s="36"/>
      <c r="C673" s="36"/>
      <c r="D673" s="36"/>
      <c r="E673" s="36"/>
      <c r="F673" s="36"/>
      <c r="G673" s="87">
        <v>13630</v>
      </c>
      <c r="H673" s="87"/>
      <c r="I673" s="87">
        <f t="shared" si="30"/>
        <v>13630</v>
      </c>
      <c r="J673" s="105"/>
      <c r="K673" s="105"/>
    </row>
    <row r="674" spans="1:11" s="14" customFormat="1" ht="12.75" hidden="1">
      <c r="A674" s="221" t="s">
        <v>732</v>
      </c>
      <c r="B674" s="36"/>
      <c r="C674" s="36"/>
      <c r="D674" s="36"/>
      <c r="E674" s="36"/>
      <c r="F674" s="36"/>
      <c r="G674" s="87">
        <v>58456.67</v>
      </c>
      <c r="H674" s="87"/>
      <c r="I674" s="87">
        <f t="shared" si="30"/>
        <v>58456.67</v>
      </c>
      <c r="J674" s="105"/>
      <c r="K674" s="105"/>
    </row>
    <row r="675" spans="1:11" s="14" customFormat="1" ht="12.75" hidden="1">
      <c r="A675" s="24" t="s">
        <v>529</v>
      </c>
      <c r="B675" s="36"/>
      <c r="C675" s="36"/>
      <c r="D675" s="36"/>
      <c r="E675" s="36"/>
      <c r="F675" s="36"/>
      <c r="G675" s="87">
        <f>126567.28-13630-58456.67</f>
        <v>54480.61</v>
      </c>
      <c r="H675" s="93"/>
      <c r="I675" s="87">
        <f t="shared" si="30"/>
        <v>54480.61</v>
      </c>
      <c r="J675" s="105"/>
      <c r="K675" s="105"/>
    </row>
    <row r="676" spans="1:11" s="138" customFormat="1" ht="25.5">
      <c r="A676" s="336" t="s">
        <v>333</v>
      </c>
      <c r="B676" s="327" t="s">
        <v>165</v>
      </c>
      <c r="C676" s="327" t="s">
        <v>592</v>
      </c>
      <c r="D676" s="327" t="s">
        <v>271</v>
      </c>
      <c r="E676" s="327" t="s">
        <v>388</v>
      </c>
      <c r="F676" s="327" t="s">
        <v>194</v>
      </c>
      <c r="G676" s="328">
        <f>G677+G678+G679</f>
        <v>685200</v>
      </c>
      <c r="H676" s="328">
        <f>H677+H678+H679</f>
        <v>685200</v>
      </c>
      <c r="I676" s="328">
        <f>I677+I678+I679</f>
        <v>0</v>
      </c>
      <c r="J676" s="395"/>
      <c r="K676" s="105"/>
    </row>
    <row r="677" spans="1:11" s="14" customFormat="1" ht="12.75">
      <c r="A677" s="45"/>
      <c r="B677" s="36"/>
      <c r="C677" s="36"/>
      <c r="D677" s="36"/>
      <c r="E677" s="36"/>
      <c r="F677" s="36"/>
      <c r="G677" s="87">
        <f>865000-195000+15200</f>
        <v>685200</v>
      </c>
      <c r="H677" s="87">
        <v>685200</v>
      </c>
      <c r="I677" s="87">
        <f>G677-H677</f>
        <v>0</v>
      </c>
      <c r="J677" s="408"/>
      <c r="K677" s="105"/>
    </row>
    <row r="678" spans="1:11" s="14" customFormat="1" ht="12.75">
      <c r="A678" s="45"/>
      <c r="B678" s="36"/>
      <c r="C678" s="36"/>
      <c r="D678" s="36"/>
      <c r="E678" s="36"/>
      <c r="F678" s="36"/>
      <c r="G678" s="93"/>
      <c r="H678" s="93"/>
      <c r="I678" s="87">
        <f>G678-H678</f>
        <v>0</v>
      </c>
      <c r="J678" s="408"/>
      <c r="K678" s="105"/>
    </row>
    <row r="679" spans="1:11" s="14" customFormat="1" ht="12.75">
      <c r="A679" s="45"/>
      <c r="B679" s="36"/>
      <c r="C679" s="36"/>
      <c r="D679" s="36"/>
      <c r="E679" s="36"/>
      <c r="F679" s="36"/>
      <c r="G679" s="93"/>
      <c r="H679" s="93"/>
      <c r="I679" s="87">
        <f>G679-H679</f>
        <v>0</v>
      </c>
      <c r="J679" s="408"/>
      <c r="K679" s="105"/>
    </row>
    <row r="680" spans="1:11" s="138" customFormat="1" ht="12.75">
      <c r="A680" s="75" t="s">
        <v>262</v>
      </c>
      <c r="B680" s="50" t="s">
        <v>151</v>
      </c>
      <c r="C680" s="50"/>
      <c r="D680" s="50"/>
      <c r="E680" s="72"/>
      <c r="F680" s="72"/>
      <c r="G680" s="91">
        <f>G767+G770</f>
        <v>4735000</v>
      </c>
      <c r="H680" s="91">
        <f>H767+H770</f>
        <v>4284783.37</v>
      </c>
      <c r="I680" s="91">
        <f>I767+I770</f>
        <v>450216.6299999998</v>
      </c>
      <c r="J680" s="237"/>
      <c r="K680" s="151"/>
    </row>
    <row r="681" spans="1:10" s="5" customFormat="1" ht="38.25" hidden="1">
      <c r="A681" s="197" t="s">
        <v>8</v>
      </c>
      <c r="B681" s="198" t="s">
        <v>152</v>
      </c>
      <c r="C681" s="198" t="s">
        <v>153</v>
      </c>
      <c r="D681" s="198" t="s">
        <v>150</v>
      </c>
      <c r="E681" s="198" t="s">
        <v>9</v>
      </c>
      <c r="F681" s="198"/>
      <c r="G681" s="85"/>
      <c r="H681" s="85"/>
      <c r="I681" s="140"/>
      <c r="J681" s="237"/>
    </row>
    <row r="682" spans="1:10" s="9" customFormat="1" ht="16.5" customHeight="1" hidden="1">
      <c r="A682" s="199" t="s">
        <v>10</v>
      </c>
      <c r="B682" s="200" t="s">
        <v>152</v>
      </c>
      <c r="C682" s="200" t="s">
        <v>153</v>
      </c>
      <c r="D682" s="200" t="s">
        <v>150</v>
      </c>
      <c r="E682" s="200" t="s">
        <v>11</v>
      </c>
      <c r="F682" s="200"/>
      <c r="G682" s="81"/>
      <c r="H682" s="81"/>
      <c r="I682" s="226"/>
      <c r="J682" s="373"/>
    </row>
    <row r="683" spans="1:10" s="10" customFormat="1" ht="12.75" hidden="1">
      <c r="A683" s="199" t="s">
        <v>17</v>
      </c>
      <c r="B683" s="200" t="s">
        <v>152</v>
      </c>
      <c r="C683" s="200" t="s">
        <v>153</v>
      </c>
      <c r="D683" s="200" t="s">
        <v>150</v>
      </c>
      <c r="E683" s="200" t="s">
        <v>12</v>
      </c>
      <c r="F683" s="200"/>
      <c r="G683" s="81"/>
      <c r="H683" s="81"/>
      <c r="I683" s="219"/>
      <c r="J683" s="372"/>
    </row>
    <row r="684" spans="1:10" s="10" customFormat="1" ht="25.5" hidden="1">
      <c r="A684" s="187" t="s">
        <v>18</v>
      </c>
      <c r="B684" s="201"/>
      <c r="C684" s="201"/>
      <c r="D684" s="201"/>
      <c r="E684" s="201"/>
      <c r="F684" s="201" t="s">
        <v>19</v>
      </c>
      <c r="G684" s="83"/>
      <c r="H684" s="83"/>
      <c r="I684" s="219"/>
      <c r="J684" s="372"/>
    </row>
    <row r="685" spans="1:10" s="5" customFormat="1" ht="38.25" hidden="1">
      <c r="A685" s="146" t="s">
        <v>20</v>
      </c>
      <c r="B685" s="201"/>
      <c r="C685" s="201"/>
      <c r="D685" s="201"/>
      <c r="E685" s="201"/>
      <c r="F685" s="201" t="s">
        <v>87</v>
      </c>
      <c r="G685" s="83"/>
      <c r="H685" s="83"/>
      <c r="I685" s="140"/>
      <c r="J685" s="237"/>
    </row>
    <row r="686" spans="1:10" s="5" customFormat="1" ht="14.25" customHeight="1" hidden="1">
      <c r="A686" s="135" t="s">
        <v>21</v>
      </c>
      <c r="B686" s="201"/>
      <c r="C686" s="201"/>
      <c r="D686" s="201"/>
      <c r="E686" s="201"/>
      <c r="F686" s="201" t="s">
        <v>22</v>
      </c>
      <c r="G686" s="83"/>
      <c r="H686" s="83"/>
      <c r="I686" s="140"/>
      <c r="J686" s="237"/>
    </row>
    <row r="687" spans="1:10" s="5" customFormat="1" ht="25.5" hidden="1">
      <c r="A687" s="199" t="s">
        <v>15</v>
      </c>
      <c r="B687" s="200" t="s">
        <v>152</v>
      </c>
      <c r="C687" s="200" t="s">
        <v>153</v>
      </c>
      <c r="D687" s="200" t="s">
        <v>150</v>
      </c>
      <c r="E687" s="200" t="s">
        <v>16</v>
      </c>
      <c r="F687" s="200"/>
      <c r="G687" s="81"/>
      <c r="H687" s="81"/>
      <c r="I687" s="140"/>
      <c r="J687" s="237"/>
    </row>
    <row r="688" spans="1:10" s="10" customFormat="1" ht="12.75" hidden="1">
      <c r="A688" s="197" t="s">
        <v>23</v>
      </c>
      <c r="B688" s="198" t="s">
        <v>152</v>
      </c>
      <c r="C688" s="198" t="s">
        <v>153</v>
      </c>
      <c r="D688" s="198" t="s">
        <v>150</v>
      </c>
      <c r="E688" s="198" t="s">
        <v>24</v>
      </c>
      <c r="F688" s="198"/>
      <c r="G688" s="85"/>
      <c r="H688" s="85"/>
      <c r="I688" s="219"/>
      <c r="J688" s="372"/>
    </row>
    <row r="689" spans="1:10" s="9" customFormat="1" ht="12.75" hidden="1">
      <c r="A689" s="199" t="s">
        <v>25</v>
      </c>
      <c r="B689" s="200" t="s">
        <v>152</v>
      </c>
      <c r="C689" s="200" t="s">
        <v>153</v>
      </c>
      <c r="D689" s="200" t="s">
        <v>150</v>
      </c>
      <c r="E689" s="200" t="s">
        <v>26</v>
      </c>
      <c r="F689" s="200"/>
      <c r="G689" s="81"/>
      <c r="H689" s="81"/>
      <c r="I689" s="226"/>
      <c r="J689" s="373"/>
    </row>
    <row r="690" spans="1:10" s="10" customFormat="1" ht="12.75" hidden="1">
      <c r="A690" s="199" t="s">
        <v>27</v>
      </c>
      <c r="B690" s="200" t="s">
        <v>152</v>
      </c>
      <c r="C690" s="200" t="s">
        <v>153</v>
      </c>
      <c r="D690" s="200" t="s">
        <v>150</v>
      </c>
      <c r="E690" s="200" t="s">
        <v>28</v>
      </c>
      <c r="F690" s="200"/>
      <c r="G690" s="81"/>
      <c r="H690" s="81"/>
      <c r="I690" s="219"/>
      <c r="J690" s="372"/>
    </row>
    <row r="691" spans="1:10" s="10" customFormat="1" ht="51" hidden="1">
      <c r="A691" s="187" t="s">
        <v>29</v>
      </c>
      <c r="B691" s="201"/>
      <c r="C691" s="201"/>
      <c r="D691" s="201"/>
      <c r="E691" s="201"/>
      <c r="F691" s="201" t="s">
        <v>19</v>
      </c>
      <c r="G691" s="83"/>
      <c r="H691" s="83"/>
      <c r="I691" s="219"/>
      <c r="J691" s="372"/>
    </row>
    <row r="692" spans="1:10" s="5" customFormat="1" ht="63.75" hidden="1">
      <c r="A692" s="202" t="s">
        <v>30</v>
      </c>
      <c r="B692" s="201"/>
      <c r="C692" s="201"/>
      <c r="D692" s="201"/>
      <c r="E692" s="201"/>
      <c r="F692" s="201" t="s">
        <v>31</v>
      </c>
      <c r="G692" s="83"/>
      <c r="H692" s="83"/>
      <c r="I692" s="140"/>
      <c r="J692" s="237"/>
    </row>
    <row r="693" spans="1:10" s="5" customFormat="1" ht="12.75" hidden="1">
      <c r="A693" s="199" t="s">
        <v>32</v>
      </c>
      <c r="B693" s="200" t="s">
        <v>152</v>
      </c>
      <c r="C693" s="200" t="s">
        <v>153</v>
      </c>
      <c r="D693" s="200" t="s">
        <v>150</v>
      </c>
      <c r="E693" s="200" t="s">
        <v>33</v>
      </c>
      <c r="F693" s="200"/>
      <c r="G693" s="81"/>
      <c r="H693" s="81"/>
      <c r="I693" s="140"/>
      <c r="J693" s="237"/>
    </row>
    <row r="694" spans="1:10" s="10" customFormat="1" ht="38.25" hidden="1">
      <c r="A694" s="203" t="s">
        <v>34</v>
      </c>
      <c r="B694" s="201"/>
      <c r="C694" s="201"/>
      <c r="D694" s="201"/>
      <c r="E694" s="201"/>
      <c r="F694" s="201" t="s">
        <v>35</v>
      </c>
      <c r="G694" s="83"/>
      <c r="H694" s="83"/>
      <c r="I694" s="219"/>
      <c r="J694" s="372"/>
    </row>
    <row r="695" spans="1:10" s="5" customFormat="1" ht="38.25" hidden="1">
      <c r="A695" s="203" t="s">
        <v>36</v>
      </c>
      <c r="B695" s="201"/>
      <c r="C695" s="201"/>
      <c r="D695" s="201"/>
      <c r="E695" s="201"/>
      <c r="F695" s="201" t="s">
        <v>37</v>
      </c>
      <c r="G695" s="83"/>
      <c r="H695" s="83"/>
      <c r="I695" s="140"/>
      <c r="J695" s="237"/>
    </row>
    <row r="696" spans="1:10" s="5" customFormat="1" ht="25.5" customHeight="1" hidden="1">
      <c r="A696" s="203" t="s">
        <v>38</v>
      </c>
      <c r="B696" s="201"/>
      <c r="C696" s="201"/>
      <c r="D696" s="201"/>
      <c r="E696" s="201"/>
      <c r="F696" s="201" t="s">
        <v>39</v>
      </c>
      <c r="G696" s="83"/>
      <c r="H696" s="83"/>
      <c r="I696" s="140"/>
      <c r="J696" s="237"/>
    </row>
    <row r="697" spans="1:10" s="5" customFormat="1" ht="25.5" hidden="1">
      <c r="A697" s="199" t="s">
        <v>40</v>
      </c>
      <c r="B697" s="200" t="s">
        <v>152</v>
      </c>
      <c r="C697" s="200" t="s">
        <v>153</v>
      </c>
      <c r="D697" s="200" t="s">
        <v>150</v>
      </c>
      <c r="E697" s="200" t="s">
        <v>41</v>
      </c>
      <c r="F697" s="200"/>
      <c r="G697" s="81"/>
      <c r="H697" s="81"/>
      <c r="I697" s="140"/>
      <c r="J697" s="237"/>
    </row>
    <row r="698" spans="1:10" s="10" customFormat="1" ht="13.5" customHeight="1" hidden="1">
      <c r="A698" s="199" t="s">
        <v>42</v>
      </c>
      <c r="B698" s="200" t="s">
        <v>152</v>
      </c>
      <c r="C698" s="200" t="s">
        <v>153</v>
      </c>
      <c r="D698" s="200" t="s">
        <v>150</v>
      </c>
      <c r="E698" s="200" t="s">
        <v>43</v>
      </c>
      <c r="F698" s="200"/>
      <c r="G698" s="81"/>
      <c r="H698" s="81"/>
      <c r="I698" s="219"/>
      <c r="J698" s="372"/>
    </row>
    <row r="699" spans="1:10" s="10" customFormat="1" ht="25.5" hidden="1">
      <c r="A699" s="203" t="s">
        <v>44</v>
      </c>
      <c r="B699" s="204"/>
      <c r="C699" s="204"/>
      <c r="D699" s="204"/>
      <c r="E699" s="204"/>
      <c r="F699" s="204" t="s">
        <v>45</v>
      </c>
      <c r="G699" s="83"/>
      <c r="H699" s="83"/>
      <c r="I699" s="219"/>
      <c r="J699" s="372"/>
    </row>
    <row r="700" spans="1:10" s="5" customFormat="1" ht="25.5" hidden="1">
      <c r="A700" s="203" t="s">
        <v>46</v>
      </c>
      <c r="B700" s="204"/>
      <c r="C700" s="204"/>
      <c r="D700" s="204"/>
      <c r="E700" s="204"/>
      <c r="F700" s="204" t="s">
        <v>47</v>
      </c>
      <c r="G700" s="83"/>
      <c r="H700" s="83"/>
      <c r="I700" s="140"/>
      <c r="J700" s="237"/>
    </row>
    <row r="701" spans="1:10" s="5" customFormat="1" ht="38.25" hidden="1">
      <c r="A701" s="203" t="s">
        <v>48</v>
      </c>
      <c r="B701" s="204"/>
      <c r="C701" s="204"/>
      <c r="D701" s="204"/>
      <c r="E701" s="204"/>
      <c r="F701" s="204" t="s">
        <v>49</v>
      </c>
      <c r="G701" s="83"/>
      <c r="H701" s="83"/>
      <c r="I701" s="140"/>
      <c r="J701" s="237"/>
    </row>
    <row r="702" spans="1:10" s="5" customFormat="1" ht="25.5" hidden="1">
      <c r="A702" s="203" t="s">
        <v>50</v>
      </c>
      <c r="B702" s="204"/>
      <c r="C702" s="204"/>
      <c r="D702" s="204"/>
      <c r="E702" s="204"/>
      <c r="F702" s="204" t="s">
        <v>51</v>
      </c>
      <c r="G702" s="83"/>
      <c r="H702" s="83"/>
      <c r="I702" s="140"/>
      <c r="J702" s="237"/>
    </row>
    <row r="703" spans="1:10" s="5" customFormat="1" ht="76.5" hidden="1">
      <c r="A703" s="203" t="s">
        <v>52</v>
      </c>
      <c r="B703" s="204"/>
      <c r="C703" s="204"/>
      <c r="D703" s="204"/>
      <c r="E703" s="204"/>
      <c r="F703" s="204" t="s">
        <v>51</v>
      </c>
      <c r="G703" s="83"/>
      <c r="H703" s="83"/>
      <c r="I703" s="140"/>
      <c r="J703" s="237"/>
    </row>
    <row r="704" spans="1:10" s="5" customFormat="1" ht="12.75" hidden="1">
      <c r="A704" s="199" t="s">
        <v>53</v>
      </c>
      <c r="B704" s="200" t="s">
        <v>152</v>
      </c>
      <c r="C704" s="200" t="s">
        <v>153</v>
      </c>
      <c r="D704" s="200" t="s">
        <v>150</v>
      </c>
      <c r="E704" s="200" t="s">
        <v>54</v>
      </c>
      <c r="F704" s="204"/>
      <c r="G704" s="81"/>
      <c r="H704" s="81"/>
      <c r="I704" s="140"/>
      <c r="J704" s="237"/>
    </row>
    <row r="705" spans="1:10" s="10" customFormat="1" ht="63.75" hidden="1">
      <c r="A705" s="187" t="s">
        <v>55</v>
      </c>
      <c r="B705" s="136"/>
      <c r="C705" s="136"/>
      <c r="D705" s="136"/>
      <c r="E705" s="136"/>
      <c r="F705" s="136" t="s">
        <v>19</v>
      </c>
      <c r="G705" s="83"/>
      <c r="H705" s="83"/>
      <c r="I705" s="219"/>
      <c r="J705" s="372"/>
    </row>
    <row r="706" spans="1:10" s="5" customFormat="1" ht="63.75" hidden="1">
      <c r="A706" s="183" t="s">
        <v>56</v>
      </c>
      <c r="B706" s="136"/>
      <c r="C706" s="136"/>
      <c r="D706" s="136"/>
      <c r="E706" s="136"/>
      <c r="F706" s="136" t="s">
        <v>57</v>
      </c>
      <c r="G706" s="83"/>
      <c r="H706" s="83"/>
      <c r="I706" s="140"/>
      <c r="J706" s="237"/>
    </row>
    <row r="707" spans="1:10" s="5" customFormat="1" ht="51" hidden="1">
      <c r="A707" s="146" t="s">
        <v>58</v>
      </c>
      <c r="B707" s="136"/>
      <c r="C707" s="136"/>
      <c r="D707" s="136"/>
      <c r="E707" s="136"/>
      <c r="F707" s="136" t="s">
        <v>59</v>
      </c>
      <c r="G707" s="83"/>
      <c r="H707" s="83"/>
      <c r="I707" s="140"/>
      <c r="J707" s="237"/>
    </row>
    <row r="708" spans="1:10" s="5" customFormat="1" ht="26.25" customHeight="1" hidden="1">
      <c r="A708" s="197" t="s">
        <v>60</v>
      </c>
      <c r="B708" s="198" t="s">
        <v>152</v>
      </c>
      <c r="C708" s="198" t="s">
        <v>153</v>
      </c>
      <c r="D708" s="198" t="s">
        <v>150</v>
      </c>
      <c r="E708" s="198" t="s">
        <v>61</v>
      </c>
      <c r="F708" s="198"/>
      <c r="G708" s="85"/>
      <c r="H708" s="85"/>
      <c r="I708" s="140"/>
      <c r="J708" s="237"/>
    </row>
    <row r="709" spans="1:10" s="9" customFormat="1" ht="25.5" hidden="1">
      <c r="A709" s="199" t="s">
        <v>62</v>
      </c>
      <c r="B709" s="200" t="s">
        <v>152</v>
      </c>
      <c r="C709" s="200" t="s">
        <v>153</v>
      </c>
      <c r="D709" s="200" t="s">
        <v>150</v>
      </c>
      <c r="E709" s="200" t="s">
        <v>63</v>
      </c>
      <c r="F709" s="204"/>
      <c r="G709" s="81"/>
      <c r="H709" s="81"/>
      <c r="I709" s="226"/>
      <c r="J709" s="373"/>
    </row>
    <row r="710" spans="1:10" s="10" customFormat="1" ht="25.5" hidden="1">
      <c r="A710" s="135" t="s">
        <v>64</v>
      </c>
      <c r="B710" s="136"/>
      <c r="C710" s="136"/>
      <c r="D710" s="136"/>
      <c r="E710" s="136"/>
      <c r="F710" s="136"/>
      <c r="G710" s="83"/>
      <c r="H710" s="83"/>
      <c r="I710" s="219"/>
      <c r="J710" s="372"/>
    </row>
    <row r="711" spans="1:10" s="5" customFormat="1" ht="12.75" hidden="1">
      <c r="A711" s="197" t="s">
        <v>65</v>
      </c>
      <c r="B711" s="198" t="s">
        <v>152</v>
      </c>
      <c r="C711" s="198" t="s">
        <v>153</v>
      </c>
      <c r="D711" s="198" t="s">
        <v>150</v>
      </c>
      <c r="E711" s="198" t="s">
        <v>66</v>
      </c>
      <c r="F711" s="198"/>
      <c r="G711" s="85"/>
      <c r="H711" s="85"/>
      <c r="I711" s="140"/>
      <c r="J711" s="237"/>
    </row>
    <row r="712" spans="1:10" s="9" customFormat="1" ht="51" hidden="1">
      <c r="A712" s="146" t="s">
        <v>58</v>
      </c>
      <c r="B712" s="136"/>
      <c r="C712" s="136"/>
      <c r="D712" s="136"/>
      <c r="E712" s="136"/>
      <c r="F712" s="136"/>
      <c r="G712" s="83"/>
      <c r="H712" s="83"/>
      <c r="I712" s="226"/>
      <c r="J712" s="373"/>
    </row>
    <row r="713" spans="1:10" s="5" customFormat="1" ht="29.25" customHeight="1" hidden="1">
      <c r="A713" s="197" t="s">
        <v>67</v>
      </c>
      <c r="B713" s="198" t="s">
        <v>152</v>
      </c>
      <c r="C713" s="198" t="s">
        <v>153</v>
      </c>
      <c r="D713" s="198" t="s">
        <v>150</v>
      </c>
      <c r="E713" s="198" t="s">
        <v>68</v>
      </c>
      <c r="F713" s="198"/>
      <c r="G713" s="85"/>
      <c r="H713" s="85"/>
      <c r="I713" s="140"/>
      <c r="J713" s="237"/>
    </row>
    <row r="714" spans="1:10" s="9" customFormat="1" ht="25.5" hidden="1">
      <c r="A714" s="199" t="s">
        <v>69</v>
      </c>
      <c r="B714" s="200" t="s">
        <v>152</v>
      </c>
      <c r="C714" s="200" t="s">
        <v>153</v>
      </c>
      <c r="D714" s="200" t="s">
        <v>150</v>
      </c>
      <c r="E714" s="200" t="s">
        <v>70</v>
      </c>
      <c r="F714" s="204"/>
      <c r="G714" s="81"/>
      <c r="H714" s="81"/>
      <c r="I714" s="226"/>
      <c r="J714" s="373"/>
    </row>
    <row r="715" spans="1:10" s="10" customFormat="1" ht="25.5" hidden="1">
      <c r="A715" s="203" t="s">
        <v>71</v>
      </c>
      <c r="B715" s="136"/>
      <c r="C715" s="136"/>
      <c r="D715" s="136"/>
      <c r="E715" s="136"/>
      <c r="F715" s="136" t="s">
        <v>72</v>
      </c>
      <c r="G715" s="83"/>
      <c r="H715" s="83"/>
      <c r="I715" s="219"/>
      <c r="J715" s="372"/>
    </row>
    <row r="716" spans="1:10" s="5" customFormat="1" ht="76.5" hidden="1">
      <c r="A716" s="203" t="s">
        <v>73</v>
      </c>
      <c r="B716" s="136"/>
      <c r="C716" s="136"/>
      <c r="D716" s="136"/>
      <c r="E716" s="136"/>
      <c r="F716" s="136" t="s">
        <v>74</v>
      </c>
      <c r="G716" s="83"/>
      <c r="H716" s="83"/>
      <c r="I716" s="140"/>
      <c r="J716" s="237"/>
    </row>
    <row r="717" spans="1:10" s="5" customFormat="1" ht="51" customHeight="1" hidden="1">
      <c r="A717" s="203" t="s">
        <v>75</v>
      </c>
      <c r="B717" s="136"/>
      <c r="C717" s="136"/>
      <c r="D717" s="136"/>
      <c r="E717" s="136"/>
      <c r="F717" s="136" t="s">
        <v>76</v>
      </c>
      <c r="G717" s="83"/>
      <c r="H717" s="83"/>
      <c r="I717" s="140"/>
      <c r="J717" s="237"/>
    </row>
    <row r="718" spans="1:10" s="5" customFormat="1" ht="52.5" customHeight="1" hidden="1">
      <c r="A718" s="199" t="s">
        <v>77</v>
      </c>
      <c r="B718" s="200" t="s">
        <v>152</v>
      </c>
      <c r="C718" s="200" t="s">
        <v>153</v>
      </c>
      <c r="D718" s="200" t="s">
        <v>150</v>
      </c>
      <c r="E718" s="200" t="s">
        <v>78</v>
      </c>
      <c r="F718" s="204"/>
      <c r="G718" s="81"/>
      <c r="H718" s="81"/>
      <c r="I718" s="140"/>
      <c r="J718" s="237"/>
    </row>
    <row r="719" spans="1:10" s="10" customFormat="1" ht="15.75" customHeight="1" hidden="1">
      <c r="A719" s="203" t="s">
        <v>79</v>
      </c>
      <c r="B719" s="136"/>
      <c r="C719" s="136"/>
      <c r="D719" s="136"/>
      <c r="E719" s="136"/>
      <c r="F719" s="136" t="s">
        <v>80</v>
      </c>
      <c r="G719" s="83"/>
      <c r="H719" s="83"/>
      <c r="I719" s="219"/>
      <c r="J719" s="372"/>
    </row>
    <row r="720" spans="1:10" s="5" customFormat="1" ht="12.75" hidden="1">
      <c r="A720" s="203" t="s">
        <v>81</v>
      </c>
      <c r="B720" s="136"/>
      <c r="C720" s="136"/>
      <c r="D720" s="136"/>
      <c r="E720" s="136"/>
      <c r="F720" s="136" t="s">
        <v>82</v>
      </c>
      <c r="G720" s="83"/>
      <c r="H720" s="83"/>
      <c r="I720" s="140"/>
      <c r="J720" s="237"/>
    </row>
    <row r="721" spans="1:10" s="5" customFormat="1" ht="25.5" hidden="1">
      <c r="A721" s="203" t="s">
        <v>83</v>
      </c>
      <c r="B721" s="136"/>
      <c r="C721" s="136"/>
      <c r="D721" s="136"/>
      <c r="E721" s="136"/>
      <c r="F721" s="136" t="s">
        <v>84</v>
      </c>
      <c r="G721" s="83"/>
      <c r="H721" s="83"/>
      <c r="I721" s="140"/>
      <c r="J721" s="237"/>
    </row>
    <row r="722" spans="1:10" s="5" customFormat="1" ht="63.75" hidden="1">
      <c r="A722" s="203" t="s">
        <v>85</v>
      </c>
      <c r="B722" s="136"/>
      <c r="C722" s="136"/>
      <c r="D722" s="136"/>
      <c r="E722" s="136"/>
      <c r="F722" s="136" t="s">
        <v>86</v>
      </c>
      <c r="G722" s="83"/>
      <c r="H722" s="83"/>
      <c r="I722" s="140"/>
      <c r="J722" s="237"/>
    </row>
    <row r="723" spans="1:10" s="5" customFormat="1" ht="38.25" customHeight="1" hidden="1">
      <c r="A723" s="196" t="s">
        <v>154</v>
      </c>
      <c r="B723" s="185" t="s">
        <v>152</v>
      </c>
      <c r="C723" s="185" t="s">
        <v>155</v>
      </c>
      <c r="D723" s="185" t="s">
        <v>150</v>
      </c>
      <c r="E723" s="185"/>
      <c r="F723" s="185"/>
      <c r="G723" s="83"/>
      <c r="H723" s="83"/>
      <c r="I723" s="140"/>
      <c r="J723" s="237"/>
    </row>
    <row r="724" spans="1:10" s="5" customFormat="1" ht="38.25" hidden="1">
      <c r="A724" s="197" t="s">
        <v>8</v>
      </c>
      <c r="B724" s="198" t="s">
        <v>152</v>
      </c>
      <c r="C724" s="198" t="s">
        <v>155</v>
      </c>
      <c r="D724" s="198" t="s">
        <v>150</v>
      </c>
      <c r="E724" s="198" t="s">
        <v>9</v>
      </c>
      <c r="F724" s="198"/>
      <c r="G724" s="85"/>
      <c r="H724" s="85"/>
      <c r="I724" s="140"/>
      <c r="J724" s="237"/>
    </row>
    <row r="725" spans="1:10" s="9" customFormat="1" ht="15.75" customHeight="1" hidden="1">
      <c r="A725" s="199" t="s">
        <v>10</v>
      </c>
      <c r="B725" s="200" t="s">
        <v>152</v>
      </c>
      <c r="C725" s="200" t="s">
        <v>155</v>
      </c>
      <c r="D725" s="200" t="s">
        <v>150</v>
      </c>
      <c r="E725" s="200" t="s">
        <v>11</v>
      </c>
      <c r="F725" s="200"/>
      <c r="G725" s="81"/>
      <c r="H725" s="81"/>
      <c r="I725" s="226"/>
      <c r="J725" s="373"/>
    </row>
    <row r="726" spans="1:10" s="10" customFormat="1" ht="12.75" hidden="1">
      <c r="A726" s="199" t="s">
        <v>17</v>
      </c>
      <c r="B726" s="200" t="s">
        <v>152</v>
      </c>
      <c r="C726" s="200" t="s">
        <v>155</v>
      </c>
      <c r="D726" s="200" t="s">
        <v>150</v>
      </c>
      <c r="E726" s="200" t="s">
        <v>12</v>
      </c>
      <c r="F726" s="200"/>
      <c r="G726" s="81"/>
      <c r="H726" s="81"/>
      <c r="I726" s="219"/>
      <c r="J726" s="372"/>
    </row>
    <row r="727" spans="1:10" s="10" customFormat="1" ht="25.5" hidden="1">
      <c r="A727" s="187" t="s">
        <v>18</v>
      </c>
      <c r="B727" s="201"/>
      <c r="C727" s="201"/>
      <c r="D727" s="201"/>
      <c r="E727" s="201"/>
      <c r="F727" s="201" t="s">
        <v>19</v>
      </c>
      <c r="G727" s="83"/>
      <c r="H727" s="83"/>
      <c r="I727" s="219"/>
      <c r="J727" s="372"/>
    </row>
    <row r="728" spans="1:10" s="5" customFormat="1" ht="38.25" hidden="1">
      <c r="A728" s="146" t="s">
        <v>20</v>
      </c>
      <c r="B728" s="201"/>
      <c r="C728" s="201"/>
      <c r="D728" s="201"/>
      <c r="E728" s="201"/>
      <c r="F728" s="201" t="s">
        <v>87</v>
      </c>
      <c r="G728" s="83"/>
      <c r="H728" s="83"/>
      <c r="I728" s="140"/>
      <c r="J728" s="237"/>
    </row>
    <row r="729" spans="1:10" s="5" customFormat="1" ht="18" customHeight="1" hidden="1">
      <c r="A729" s="135" t="s">
        <v>21</v>
      </c>
      <c r="B729" s="201"/>
      <c r="C729" s="201"/>
      <c r="D729" s="201"/>
      <c r="E729" s="201"/>
      <c r="F729" s="201" t="s">
        <v>22</v>
      </c>
      <c r="G729" s="83"/>
      <c r="H729" s="83"/>
      <c r="I729" s="140"/>
      <c r="J729" s="237"/>
    </row>
    <row r="730" spans="1:10" s="5" customFormat="1" ht="25.5" hidden="1">
      <c r="A730" s="199" t="s">
        <v>15</v>
      </c>
      <c r="B730" s="200" t="s">
        <v>152</v>
      </c>
      <c r="C730" s="200" t="s">
        <v>155</v>
      </c>
      <c r="D730" s="200" t="s">
        <v>150</v>
      </c>
      <c r="E730" s="200" t="s">
        <v>16</v>
      </c>
      <c r="F730" s="200"/>
      <c r="G730" s="81"/>
      <c r="H730" s="81"/>
      <c r="I730" s="140"/>
      <c r="J730" s="237"/>
    </row>
    <row r="731" spans="1:10" s="10" customFormat="1" ht="12.75" hidden="1">
      <c r="A731" s="197" t="s">
        <v>23</v>
      </c>
      <c r="B731" s="198" t="s">
        <v>152</v>
      </c>
      <c r="C731" s="198" t="s">
        <v>155</v>
      </c>
      <c r="D731" s="198" t="s">
        <v>150</v>
      </c>
      <c r="E731" s="198" t="s">
        <v>24</v>
      </c>
      <c r="F731" s="198"/>
      <c r="G731" s="85"/>
      <c r="H731" s="85"/>
      <c r="I731" s="219"/>
      <c r="J731" s="372"/>
    </row>
    <row r="732" spans="1:10" s="9" customFormat="1" ht="12.75" hidden="1">
      <c r="A732" s="199" t="s">
        <v>25</v>
      </c>
      <c r="B732" s="200" t="s">
        <v>152</v>
      </c>
      <c r="C732" s="200" t="s">
        <v>155</v>
      </c>
      <c r="D732" s="200" t="s">
        <v>150</v>
      </c>
      <c r="E732" s="200" t="s">
        <v>26</v>
      </c>
      <c r="F732" s="200"/>
      <c r="G732" s="81"/>
      <c r="H732" s="81"/>
      <c r="I732" s="226"/>
      <c r="J732" s="373"/>
    </row>
    <row r="733" spans="1:10" s="10" customFormat="1" ht="12.75" hidden="1">
      <c r="A733" s="199" t="s">
        <v>27</v>
      </c>
      <c r="B733" s="200" t="s">
        <v>152</v>
      </c>
      <c r="C733" s="200" t="s">
        <v>155</v>
      </c>
      <c r="D733" s="200" t="s">
        <v>150</v>
      </c>
      <c r="E733" s="200" t="s">
        <v>28</v>
      </c>
      <c r="F733" s="200"/>
      <c r="G733" s="81"/>
      <c r="H733" s="81"/>
      <c r="I733" s="219"/>
      <c r="J733" s="372"/>
    </row>
    <row r="734" spans="1:10" s="10" customFormat="1" ht="51" hidden="1">
      <c r="A734" s="187" t="s">
        <v>29</v>
      </c>
      <c r="B734" s="201"/>
      <c r="C734" s="201"/>
      <c r="D734" s="201"/>
      <c r="E734" s="201"/>
      <c r="F734" s="201" t="s">
        <v>19</v>
      </c>
      <c r="G734" s="83"/>
      <c r="H734" s="83"/>
      <c r="I734" s="219"/>
      <c r="J734" s="372"/>
    </row>
    <row r="735" spans="1:10" s="5" customFormat="1" ht="63.75" hidden="1">
      <c r="A735" s="202" t="s">
        <v>30</v>
      </c>
      <c r="B735" s="201"/>
      <c r="C735" s="201"/>
      <c r="D735" s="201"/>
      <c r="E735" s="201"/>
      <c r="F735" s="201" t="s">
        <v>31</v>
      </c>
      <c r="G735" s="83"/>
      <c r="H735" s="83"/>
      <c r="I735" s="140"/>
      <c r="J735" s="237"/>
    </row>
    <row r="736" spans="1:10" s="5" customFormat="1" ht="12.75" hidden="1">
      <c r="A736" s="205" t="s">
        <v>32</v>
      </c>
      <c r="B736" s="200" t="s">
        <v>152</v>
      </c>
      <c r="C736" s="204" t="s">
        <v>155</v>
      </c>
      <c r="D736" s="204" t="s">
        <v>150</v>
      </c>
      <c r="E736" s="204" t="s">
        <v>33</v>
      </c>
      <c r="F736" s="204"/>
      <c r="G736" s="83"/>
      <c r="H736" s="83"/>
      <c r="I736" s="140"/>
      <c r="J736" s="237"/>
    </row>
    <row r="737" spans="1:10" s="5" customFormat="1" ht="38.25" hidden="1">
      <c r="A737" s="203" t="s">
        <v>34</v>
      </c>
      <c r="B737" s="201"/>
      <c r="C737" s="201"/>
      <c r="D737" s="201"/>
      <c r="E737" s="201"/>
      <c r="F737" s="201" t="s">
        <v>35</v>
      </c>
      <c r="G737" s="83"/>
      <c r="H737" s="83"/>
      <c r="I737" s="140"/>
      <c r="J737" s="237"/>
    </row>
    <row r="738" spans="1:10" s="5" customFormat="1" ht="38.25" hidden="1">
      <c r="A738" s="203" t="s">
        <v>36</v>
      </c>
      <c r="B738" s="201"/>
      <c r="C738" s="201"/>
      <c r="D738" s="201"/>
      <c r="E738" s="201"/>
      <c r="F738" s="201" t="s">
        <v>37</v>
      </c>
      <c r="G738" s="83"/>
      <c r="H738" s="83"/>
      <c r="I738" s="140"/>
      <c r="J738" s="237"/>
    </row>
    <row r="739" spans="1:10" s="5" customFormat="1" ht="24.75" customHeight="1" hidden="1">
      <c r="A739" s="203" t="s">
        <v>38</v>
      </c>
      <c r="B739" s="201"/>
      <c r="C739" s="201"/>
      <c r="D739" s="201"/>
      <c r="E739" s="201"/>
      <c r="F739" s="201" t="s">
        <v>39</v>
      </c>
      <c r="G739" s="83"/>
      <c r="H739" s="83"/>
      <c r="I739" s="140"/>
      <c r="J739" s="237"/>
    </row>
    <row r="740" spans="1:10" s="5" customFormat="1" ht="25.5" hidden="1">
      <c r="A740" s="199" t="s">
        <v>40</v>
      </c>
      <c r="B740" s="200" t="s">
        <v>152</v>
      </c>
      <c r="C740" s="200" t="s">
        <v>155</v>
      </c>
      <c r="D740" s="200" t="s">
        <v>150</v>
      </c>
      <c r="E740" s="200" t="s">
        <v>41</v>
      </c>
      <c r="F740" s="200"/>
      <c r="G740" s="81"/>
      <c r="H740" s="81"/>
      <c r="I740" s="140"/>
      <c r="J740" s="237"/>
    </row>
    <row r="741" spans="1:10" s="10" customFormat="1" ht="13.5" customHeight="1" hidden="1">
      <c r="A741" s="199" t="s">
        <v>42</v>
      </c>
      <c r="B741" s="200" t="s">
        <v>152</v>
      </c>
      <c r="C741" s="200" t="s">
        <v>155</v>
      </c>
      <c r="D741" s="200" t="s">
        <v>150</v>
      </c>
      <c r="E741" s="200" t="s">
        <v>43</v>
      </c>
      <c r="F741" s="200"/>
      <c r="G741" s="81"/>
      <c r="H741" s="81"/>
      <c r="I741" s="219"/>
      <c r="J741" s="372"/>
    </row>
    <row r="742" spans="1:10" s="10" customFormat="1" ht="25.5" hidden="1">
      <c r="A742" s="203" t="s">
        <v>44</v>
      </c>
      <c r="B742" s="204"/>
      <c r="C742" s="204"/>
      <c r="D742" s="204"/>
      <c r="E742" s="204"/>
      <c r="F742" s="204" t="s">
        <v>45</v>
      </c>
      <c r="G742" s="83"/>
      <c r="H742" s="83"/>
      <c r="I742" s="219"/>
      <c r="J742" s="372"/>
    </row>
    <row r="743" spans="1:10" s="5" customFormat="1" ht="25.5" hidden="1">
      <c r="A743" s="203" t="s">
        <v>46</v>
      </c>
      <c r="B743" s="204"/>
      <c r="C743" s="204"/>
      <c r="D743" s="204"/>
      <c r="E743" s="204"/>
      <c r="F743" s="204" t="s">
        <v>47</v>
      </c>
      <c r="G743" s="83"/>
      <c r="H743" s="83"/>
      <c r="I743" s="140"/>
      <c r="J743" s="237"/>
    </row>
    <row r="744" spans="1:10" s="5" customFormat="1" ht="38.25" hidden="1">
      <c r="A744" s="203" t="s">
        <v>48</v>
      </c>
      <c r="B744" s="204"/>
      <c r="C744" s="204"/>
      <c r="D744" s="204"/>
      <c r="E744" s="204"/>
      <c r="F744" s="204" t="s">
        <v>49</v>
      </c>
      <c r="G744" s="83"/>
      <c r="H744" s="83"/>
      <c r="I744" s="140"/>
      <c r="J744" s="237"/>
    </row>
    <row r="745" spans="1:10" s="5" customFormat="1" ht="25.5" hidden="1">
      <c r="A745" s="203" t="s">
        <v>50</v>
      </c>
      <c r="B745" s="204"/>
      <c r="C745" s="204"/>
      <c r="D745" s="204"/>
      <c r="E745" s="204"/>
      <c r="F745" s="204" t="s">
        <v>51</v>
      </c>
      <c r="G745" s="83"/>
      <c r="H745" s="83"/>
      <c r="I745" s="140"/>
      <c r="J745" s="237"/>
    </row>
    <row r="746" spans="1:10" s="5" customFormat="1" ht="76.5" hidden="1">
      <c r="A746" s="203" t="s">
        <v>52</v>
      </c>
      <c r="B746" s="204"/>
      <c r="C746" s="204"/>
      <c r="D746" s="204"/>
      <c r="E746" s="204"/>
      <c r="F746" s="204" t="s">
        <v>51</v>
      </c>
      <c r="G746" s="83"/>
      <c r="H746" s="83"/>
      <c r="I746" s="140"/>
      <c r="J746" s="237"/>
    </row>
    <row r="747" spans="1:10" s="5" customFormat="1" ht="12.75" hidden="1">
      <c r="A747" s="199" t="s">
        <v>53</v>
      </c>
      <c r="B747" s="200" t="s">
        <v>152</v>
      </c>
      <c r="C747" s="200" t="s">
        <v>155</v>
      </c>
      <c r="D747" s="200" t="s">
        <v>150</v>
      </c>
      <c r="E747" s="200" t="s">
        <v>54</v>
      </c>
      <c r="F747" s="204"/>
      <c r="G747" s="81"/>
      <c r="H747" s="81"/>
      <c r="I747" s="140"/>
      <c r="J747" s="237"/>
    </row>
    <row r="748" spans="1:10" s="10" customFormat="1" ht="63.75" hidden="1">
      <c r="A748" s="187" t="s">
        <v>55</v>
      </c>
      <c r="B748" s="136"/>
      <c r="C748" s="136"/>
      <c r="D748" s="136"/>
      <c r="E748" s="136"/>
      <c r="F748" s="136" t="s">
        <v>19</v>
      </c>
      <c r="G748" s="83"/>
      <c r="H748" s="83"/>
      <c r="I748" s="219"/>
      <c r="J748" s="372"/>
    </row>
    <row r="749" spans="1:10" s="5" customFormat="1" ht="63.75" hidden="1">
      <c r="A749" s="183" t="s">
        <v>56</v>
      </c>
      <c r="B749" s="136"/>
      <c r="C749" s="136"/>
      <c r="D749" s="136"/>
      <c r="E749" s="136"/>
      <c r="F749" s="136" t="s">
        <v>57</v>
      </c>
      <c r="G749" s="83"/>
      <c r="H749" s="83"/>
      <c r="I749" s="140"/>
      <c r="J749" s="237"/>
    </row>
    <row r="750" spans="1:10" s="5" customFormat="1" ht="51" hidden="1">
      <c r="A750" s="146" t="s">
        <v>58</v>
      </c>
      <c r="B750" s="136"/>
      <c r="C750" s="136"/>
      <c r="D750" s="136"/>
      <c r="E750" s="136"/>
      <c r="F750" s="136" t="s">
        <v>59</v>
      </c>
      <c r="G750" s="83"/>
      <c r="H750" s="83"/>
      <c r="I750" s="140"/>
      <c r="J750" s="237"/>
    </row>
    <row r="751" spans="1:10" s="5" customFormat="1" ht="27.75" customHeight="1" hidden="1">
      <c r="A751" s="197" t="s">
        <v>60</v>
      </c>
      <c r="B751" s="198" t="s">
        <v>152</v>
      </c>
      <c r="C751" s="198" t="s">
        <v>155</v>
      </c>
      <c r="D751" s="198" t="s">
        <v>150</v>
      </c>
      <c r="E751" s="198" t="s">
        <v>61</v>
      </c>
      <c r="F751" s="198"/>
      <c r="G751" s="85"/>
      <c r="H751" s="85"/>
      <c r="I751" s="140"/>
      <c r="J751" s="237"/>
    </row>
    <row r="752" spans="1:10" s="9" customFormat="1" ht="25.5" hidden="1">
      <c r="A752" s="199" t="s">
        <v>62</v>
      </c>
      <c r="B752" s="200" t="s">
        <v>152</v>
      </c>
      <c r="C752" s="200" t="s">
        <v>155</v>
      </c>
      <c r="D752" s="200" t="s">
        <v>150</v>
      </c>
      <c r="E752" s="200" t="s">
        <v>63</v>
      </c>
      <c r="F752" s="204"/>
      <c r="G752" s="81"/>
      <c r="H752" s="81"/>
      <c r="I752" s="226"/>
      <c r="J752" s="373"/>
    </row>
    <row r="753" spans="1:10" s="10" customFormat="1" ht="25.5" hidden="1">
      <c r="A753" s="135" t="s">
        <v>64</v>
      </c>
      <c r="B753" s="136"/>
      <c r="C753" s="136"/>
      <c r="D753" s="136"/>
      <c r="E753" s="136"/>
      <c r="F753" s="136"/>
      <c r="G753" s="83"/>
      <c r="H753" s="83"/>
      <c r="I753" s="219"/>
      <c r="J753" s="372"/>
    </row>
    <row r="754" spans="1:10" s="5" customFormat="1" ht="12.75" hidden="1">
      <c r="A754" s="197" t="s">
        <v>65</v>
      </c>
      <c r="B754" s="198" t="s">
        <v>152</v>
      </c>
      <c r="C754" s="198" t="s">
        <v>155</v>
      </c>
      <c r="D754" s="198" t="s">
        <v>150</v>
      </c>
      <c r="E754" s="198" t="s">
        <v>66</v>
      </c>
      <c r="F754" s="198"/>
      <c r="G754" s="85"/>
      <c r="H754" s="85"/>
      <c r="I754" s="140"/>
      <c r="J754" s="237"/>
    </row>
    <row r="755" spans="1:10" s="9" customFormat="1" ht="51" hidden="1">
      <c r="A755" s="146" t="s">
        <v>58</v>
      </c>
      <c r="B755" s="136"/>
      <c r="C755" s="136"/>
      <c r="D755" s="136"/>
      <c r="E755" s="136"/>
      <c r="F755" s="136"/>
      <c r="G755" s="83"/>
      <c r="H755" s="83"/>
      <c r="I755" s="226"/>
      <c r="J755" s="373"/>
    </row>
    <row r="756" spans="1:10" s="5" customFormat="1" ht="27" customHeight="1" hidden="1">
      <c r="A756" s="197" t="s">
        <v>67</v>
      </c>
      <c r="B756" s="198" t="s">
        <v>152</v>
      </c>
      <c r="C756" s="198" t="s">
        <v>155</v>
      </c>
      <c r="D756" s="198" t="s">
        <v>150</v>
      </c>
      <c r="E756" s="198" t="s">
        <v>68</v>
      </c>
      <c r="F756" s="198"/>
      <c r="G756" s="85"/>
      <c r="H756" s="85"/>
      <c r="I756" s="140"/>
      <c r="J756" s="237"/>
    </row>
    <row r="757" spans="1:10" s="9" customFormat="1" ht="25.5" hidden="1">
      <c r="A757" s="199" t="s">
        <v>69</v>
      </c>
      <c r="B757" s="200" t="s">
        <v>152</v>
      </c>
      <c r="C757" s="200" t="s">
        <v>155</v>
      </c>
      <c r="D757" s="200" t="s">
        <v>150</v>
      </c>
      <c r="E757" s="200" t="s">
        <v>70</v>
      </c>
      <c r="F757" s="204"/>
      <c r="G757" s="81"/>
      <c r="H757" s="81"/>
      <c r="I757" s="226"/>
      <c r="J757" s="373"/>
    </row>
    <row r="758" spans="1:10" s="10" customFormat="1" ht="25.5" hidden="1">
      <c r="A758" s="203" t="s">
        <v>71</v>
      </c>
      <c r="B758" s="136"/>
      <c r="C758" s="136"/>
      <c r="D758" s="136"/>
      <c r="E758" s="136"/>
      <c r="F758" s="136" t="s">
        <v>72</v>
      </c>
      <c r="G758" s="83"/>
      <c r="H758" s="83"/>
      <c r="I758" s="219"/>
      <c r="J758" s="372"/>
    </row>
    <row r="759" spans="1:10" s="5" customFormat="1" ht="76.5" hidden="1">
      <c r="A759" s="203" t="s">
        <v>73</v>
      </c>
      <c r="B759" s="136"/>
      <c r="C759" s="136"/>
      <c r="D759" s="136"/>
      <c r="E759" s="136"/>
      <c r="F759" s="136" t="s">
        <v>74</v>
      </c>
      <c r="G759" s="83"/>
      <c r="H759" s="83"/>
      <c r="I759" s="140"/>
      <c r="J759" s="237"/>
    </row>
    <row r="760" spans="1:10" s="5" customFormat="1" ht="102" hidden="1">
      <c r="A760" s="203" t="s">
        <v>75</v>
      </c>
      <c r="B760" s="136"/>
      <c r="C760" s="136"/>
      <c r="D760" s="136"/>
      <c r="E760" s="136"/>
      <c r="F760" s="136" t="s">
        <v>76</v>
      </c>
      <c r="G760" s="83"/>
      <c r="H760" s="83"/>
      <c r="I760" s="140"/>
      <c r="J760" s="237"/>
    </row>
    <row r="761" spans="1:10" s="5" customFormat="1" ht="51" customHeight="1" hidden="1">
      <c r="A761" s="199" t="s">
        <v>77</v>
      </c>
      <c r="B761" s="200" t="s">
        <v>152</v>
      </c>
      <c r="C761" s="200" t="s">
        <v>155</v>
      </c>
      <c r="D761" s="200" t="s">
        <v>150</v>
      </c>
      <c r="E761" s="200" t="s">
        <v>78</v>
      </c>
      <c r="F761" s="204"/>
      <c r="G761" s="81"/>
      <c r="H761" s="81"/>
      <c r="I761" s="140"/>
      <c r="J761" s="237"/>
    </row>
    <row r="762" spans="1:10" s="10" customFormat="1" ht="12.75" customHeight="1" hidden="1">
      <c r="A762" s="203" t="s">
        <v>79</v>
      </c>
      <c r="B762" s="136"/>
      <c r="C762" s="136"/>
      <c r="D762" s="136"/>
      <c r="E762" s="136"/>
      <c r="F762" s="136" t="s">
        <v>80</v>
      </c>
      <c r="G762" s="83"/>
      <c r="H762" s="83"/>
      <c r="I762" s="219"/>
      <c r="J762" s="372"/>
    </row>
    <row r="763" spans="1:10" s="5" customFormat="1" ht="12.75" hidden="1">
      <c r="A763" s="203" t="s">
        <v>81</v>
      </c>
      <c r="B763" s="136"/>
      <c r="C763" s="136"/>
      <c r="D763" s="136"/>
      <c r="E763" s="136"/>
      <c r="F763" s="136" t="s">
        <v>82</v>
      </c>
      <c r="G763" s="83"/>
      <c r="H763" s="83"/>
      <c r="I763" s="140"/>
      <c r="J763" s="237"/>
    </row>
    <row r="764" spans="1:10" s="5" customFormat="1" ht="25.5" hidden="1">
      <c r="A764" s="203" t="s">
        <v>83</v>
      </c>
      <c r="B764" s="136"/>
      <c r="C764" s="136"/>
      <c r="D764" s="136"/>
      <c r="E764" s="136"/>
      <c r="F764" s="136" t="s">
        <v>84</v>
      </c>
      <c r="G764" s="83"/>
      <c r="H764" s="83"/>
      <c r="I764" s="140"/>
      <c r="J764" s="237"/>
    </row>
    <row r="765" spans="1:10" s="5" customFormat="1" ht="12.75" customHeight="1" hidden="1">
      <c r="A765" s="203" t="s">
        <v>85</v>
      </c>
      <c r="B765" s="136"/>
      <c r="C765" s="136"/>
      <c r="D765" s="136"/>
      <c r="E765" s="136"/>
      <c r="F765" s="136" t="s">
        <v>86</v>
      </c>
      <c r="G765" s="83"/>
      <c r="H765" s="83"/>
      <c r="I765" s="140"/>
      <c r="J765" s="237"/>
    </row>
    <row r="766" spans="1:10" s="5" customFormat="1" ht="14.25" customHeight="1" hidden="1">
      <c r="A766" s="206" t="s">
        <v>231</v>
      </c>
      <c r="B766" s="136"/>
      <c r="C766" s="136"/>
      <c r="D766" s="136"/>
      <c r="E766" s="136"/>
      <c r="F766" s="136"/>
      <c r="G766" s="83"/>
      <c r="H766" s="83"/>
      <c r="I766" s="140"/>
      <c r="J766" s="237"/>
    </row>
    <row r="767" spans="1:10" s="5" customFormat="1" ht="45" customHeight="1">
      <c r="A767" s="311" t="s">
        <v>511</v>
      </c>
      <c r="B767" s="310"/>
      <c r="C767" s="310"/>
      <c r="D767" s="310"/>
      <c r="E767" s="310"/>
      <c r="F767" s="310"/>
      <c r="G767" s="255">
        <f>G768</f>
        <v>90000</v>
      </c>
      <c r="H767" s="255">
        <f>H768</f>
        <v>90000</v>
      </c>
      <c r="I767" s="255">
        <f>I768</f>
        <v>0</v>
      </c>
      <c r="J767" s="237"/>
    </row>
    <row r="768" spans="1:10" s="5" customFormat="1" ht="14.25" customHeight="1">
      <c r="A768" s="135" t="s">
        <v>378</v>
      </c>
      <c r="B768" s="25" t="s">
        <v>152</v>
      </c>
      <c r="C768" s="25" t="s">
        <v>593</v>
      </c>
      <c r="D768" s="136" t="s">
        <v>210</v>
      </c>
      <c r="E768" s="136" t="s">
        <v>161</v>
      </c>
      <c r="F768" s="136"/>
      <c r="G768" s="87">
        <v>90000</v>
      </c>
      <c r="H768" s="83">
        <v>90000</v>
      </c>
      <c r="I768" s="83">
        <f>G768-H768</f>
        <v>0</v>
      </c>
      <c r="J768" s="237"/>
    </row>
    <row r="769" spans="1:10" s="5" customFormat="1" ht="14.25" customHeight="1">
      <c r="A769" s="106" t="s">
        <v>231</v>
      </c>
      <c r="B769" s="136"/>
      <c r="C769" s="136"/>
      <c r="D769" s="136"/>
      <c r="E769" s="136"/>
      <c r="F769" s="136"/>
      <c r="G769" s="83"/>
      <c r="H769" s="83"/>
      <c r="I769" s="140"/>
      <c r="J769" s="237"/>
    </row>
    <row r="770" spans="1:11" s="5" customFormat="1" ht="43.5" customHeight="1">
      <c r="A770" s="311" t="s">
        <v>862</v>
      </c>
      <c r="B770" s="320" t="s">
        <v>390</v>
      </c>
      <c r="C770" s="320"/>
      <c r="D770" s="320"/>
      <c r="E770" s="320"/>
      <c r="F770" s="320"/>
      <c r="G770" s="255">
        <f>G778+G787+G790+G796+G799+G805+G821+G822+G789+G788</f>
        <v>4645000</v>
      </c>
      <c r="H770" s="255">
        <f>H778+H787+H790+H796+H799+H805+H821+H822+H789+H788</f>
        <v>4194783.37</v>
      </c>
      <c r="I770" s="255">
        <f>I778+I787+I790+I796+I799+I805+I821+I822+I789+I788</f>
        <v>450216.6299999998</v>
      </c>
      <c r="J770" s="364"/>
      <c r="K770" s="4"/>
    </row>
    <row r="771" spans="1:10" s="5" customFormat="1" ht="12.75" hidden="1">
      <c r="A771" s="38"/>
      <c r="B771" s="25"/>
      <c r="C771" s="25"/>
      <c r="D771" s="25"/>
      <c r="E771" s="25"/>
      <c r="F771" s="25"/>
      <c r="G771" s="83"/>
      <c r="H771" s="83"/>
      <c r="I771" s="140"/>
      <c r="J771" s="237"/>
    </row>
    <row r="772" spans="1:10" s="5" customFormat="1" ht="12.75" hidden="1">
      <c r="A772" s="38"/>
      <c r="B772" s="25"/>
      <c r="C772" s="25"/>
      <c r="D772" s="25"/>
      <c r="E772" s="25"/>
      <c r="F772" s="25"/>
      <c r="G772" s="83"/>
      <c r="H772" s="83"/>
      <c r="I772" s="140"/>
      <c r="J772" s="237"/>
    </row>
    <row r="773" spans="1:10" s="5" customFormat="1" ht="12.75" hidden="1">
      <c r="A773" s="38"/>
      <c r="B773" s="25"/>
      <c r="C773" s="25"/>
      <c r="D773" s="25"/>
      <c r="E773" s="25"/>
      <c r="F773" s="25"/>
      <c r="G773" s="83"/>
      <c r="H773" s="83"/>
      <c r="I773" s="140"/>
      <c r="J773" s="237"/>
    </row>
    <row r="774" spans="1:10" s="5" customFormat="1" ht="12.75" hidden="1">
      <c r="A774" s="38"/>
      <c r="B774" s="25"/>
      <c r="C774" s="25"/>
      <c r="D774" s="25"/>
      <c r="E774" s="25"/>
      <c r="F774" s="25"/>
      <c r="G774" s="83"/>
      <c r="H774" s="83"/>
      <c r="I774" s="140"/>
      <c r="J774" s="237"/>
    </row>
    <row r="775" spans="1:10" s="5" customFormat="1" ht="12.75" hidden="1">
      <c r="A775" s="132"/>
      <c r="B775" s="123"/>
      <c r="C775" s="123"/>
      <c r="D775" s="123"/>
      <c r="E775" s="123"/>
      <c r="F775" s="123"/>
      <c r="G775" s="101"/>
      <c r="H775" s="101"/>
      <c r="I775" s="140"/>
      <c r="J775" s="237"/>
    </row>
    <row r="776" spans="1:10" s="124" customFormat="1" ht="12.75" hidden="1">
      <c r="A776" s="132"/>
      <c r="B776" s="123"/>
      <c r="C776" s="123"/>
      <c r="D776" s="123"/>
      <c r="E776" s="123"/>
      <c r="F776" s="123"/>
      <c r="G776" s="101"/>
      <c r="H776" s="101"/>
      <c r="I776" s="227"/>
      <c r="J776" s="237"/>
    </row>
    <row r="777" spans="1:10" s="124" customFormat="1" ht="12.75" hidden="1">
      <c r="A777" s="146"/>
      <c r="B777" s="136"/>
      <c r="C777" s="136"/>
      <c r="D777" s="136"/>
      <c r="E777" s="136"/>
      <c r="F777" s="136"/>
      <c r="G777" s="137"/>
      <c r="H777" s="137"/>
      <c r="I777" s="227"/>
      <c r="J777" s="237"/>
    </row>
    <row r="778" spans="1:35" s="124" customFormat="1" ht="38.25">
      <c r="A778" s="400" t="s">
        <v>595</v>
      </c>
      <c r="B778" s="327" t="s">
        <v>390</v>
      </c>
      <c r="C778" s="327" t="s">
        <v>593</v>
      </c>
      <c r="D778" s="327" t="s">
        <v>82</v>
      </c>
      <c r="E778" s="327" t="s">
        <v>54</v>
      </c>
      <c r="F778" s="327" t="s">
        <v>194</v>
      </c>
      <c r="G778" s="328">
        <f>G779+G780+G782+G781</f>
        <v>269754</v>
      </c>
      <c r="H778" s="328">
        <v>231740</v>
      </c>
      <c r="I778" s="328">
        <f>G778-H778</f>
        <v>38014</v>
      </c>
      <c r="J778" s="237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38"/>
    </row>
    <row r="779" spans="1:35" s="124" customFormat="1" ht="12.75" hidden="1">
      <c r="A779" s="187" t="s">
        <v>761</v>
      </c>
      <c r="B779" s="136"/>
      <c r="C779" s="25"/>
      <c r="D779" s="136"/>
      <c r="E779" s="136"/>
      <c r="F779" s="136"/>
      <c r="G779" s="137">
        <v>54000</v>
      </c>
      <c r="H779" s="137"/>
      <c r="I779" s="137">
        <f>G779-H779</f>
        <v>54000</v>
      </c>
      <c r="J779" s="237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38"/>
    </row>
    <row r="780" spans="1:35" s="124" customFormat="1" ht="25.5" hidden="1">
      <c r="A780" s="146" t="s">
        <v>762</v>
      </c>
      <c r="B780" s="136"/>
      <c r="C780" s="25"/>
      <c r="D780" s="136"/>
      <c r="E780" s="136"/>
      <c r="F780" s="136"/>
      <c r="G780" s="87">
        <v>108900</v>
      </c>
      <c r="H780" s="137"/>
      <c r="I780" s="137">
        <f>G780-H780</f>
        <v>108900</v>
      </c>
      <c r="J780" s="247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38"/>
      <c r="AI780" s="138"/>
    </row>
    <row r="781" spans="1:35" s="124" customFormat="1" ht="25.5" hidden="1">
      <c r="A781" s="146" t="s">
        <v>877</v>
      </c>
      <c r="B781" s="136"/>
      <c r="C781" s="25"/>
      <c r="D781" s="136"/>
      <c r="E781" s="136"/>
      <c r="F781" s="136"/>
      <c r="G781" s="87">
        <v>57590</v>
      </c>
      <c r="H781" s="137"/>
      <c r="I781" s="137">
        <f>G781-H781</f>
        <v>57590</v>
      </c>
      <c r="J781" s="247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38"/>
    </row>
    <row r="782" spans="1:35" s="124" customFormat="1" ht="12.75" hidden="1">
      <c r="A782" s="146" t="s">
        <v>609</v>
      </c>
      <c r="B782" s="136"/>
      <c r="C782" s="25"/>
      <c r="D782" s="136"/>
      <c r="E782" s="136"/>
      <c r="F782" s="136"/>
      <c r="G782" s="87">
        <f>106854-57590</f>
        <v>49264</v>
      </c>
      <c r="H782" s="137"/>
      <c r="I782" s="137">
        <f>G782-H782</f>
        <v>49264</v>
      </c>
      <c r="J782" s="247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38"/>
    </row>
    <row r="783" spans="1:11" s="138" customFormat="1" ht="30.75" customHeight="1" hidden="1">
      <c r="A783" s="32" t="s">
        <v>286</v>
      </c>
      <c r="B783" s="36" t="s">
        <v>390</v>
      </c>
      <c r="C783" s="25" t="s">
        <v>594</v>
      </c>
      <c r="D783" s="36" t="s">
        <v>125</v>
      </c>
      <c r="E783" s="136"/>
      <c r="F783" s="136"/>
      <c r="G783" s="154">
        <f aca="true" t="shared" si="31" ref="G783:I784">G784</f>
        <v>0</v>
      </c>
      <c r="H783" s="154">
        <f t="shared" si="31"/>
        <v>0</v>
      </c>
      <c r="I783" s="154">
        <f t="shared" si="31"/>
        <v>0</v>
      </c>
      <c r="J783" s="237"/>
      <c r="K783" s="151"/>
    </row>
    <row r="784" spans="1:11" s="138" customFormat="1" ht="21" customHeight="1" hidden="1">
      <c r="A784" s="209" t="s">
        <v>65</v>
      </c>
      <c r="B784" s="174" t="s">
        <v>390</v>
      </c>
      <c r="C784" s="25" t="s">
        <v>594</v>
      </c>
      <c r="D784" s="208" t="s">
        <v>125</v>
      </c>
      <c r="E784" s="208" t="s">
        <v>388</v>
      </c>
      <c r="F784" s="136"/>
      <c r="G784" s="154">
        <f t="shared" si="31"/>
        <v>0</v>
      </c>
      <c r="H784" s="154">
        <f t="shared" si="31"/>
        <v>0</v>
      </c>
      <c r="I784" s="154">
        <f t="shared" si="31"/>
        <v>0</v>
      </c>
      <c r="J784" s="386"/>
      <c r="K784" s="151"/>
    </row>
    <row r="785" spans="1:11" s="138" customFormat="1" ht="21" customHeight="1" hidden="1">
      <c r="A785" s="146" t="s">
        <v>355</v>
      </c>
      <c r="B785" s="210" t="s">
        <v>390</v>
      </c>
      <c r="C785" s="25" t="s">
        <v>594</v>
      </c>
      <c r="D785" s="210" t="s">
        <v>125</v>
      </c>
      <c r="E785" s="210" t="s">
        <v>388</v>
      </c>
      <c r="F785" s="136" t="s">
        <v>190</v>
      </c>
      <c r="G785" s="137">
        <v>0</v>
      </c>
      <c r="H785" s="137"/>
      <c r="I785" s="228"/>
      <c r="J785" s="237"/>
      <c r="K785" s="151"/>
    </row>
    <row r="786" spans="1:11" s="138" customFormat="1" ht="21" customHeight="1" hidden="1">
      <c r="A786" s="146" t="s">
        <v>244</v>
      </c>
      <c r="B786" s="210" t="s">
        <v>390</v>
      </c>
      <c r="C786" s="25" t="s">
        <v>594</v>
      </c>
      <c r="D786" s="210" t="s">
        <v>125</v>
      </c>
      <c r="E786" s="210" t="s">
        <v>78</v>
      </c>
      <c r="F786" s="136" t="s">
        <v>193</v>
      </c>
      <c r="G786" s="137"/>
      <c r="H786" s="137"/>
      <c r="I786" s="137">
        <f aca="true" t="shared" si="32" ref="I786:I795">G786-H786</f>
        <v>0</v>
      </c>
      <c r="J786" s="237"/>
      <c r="K786" s="151"/>
    </row>
    <row r="787" spans="1:10" s="138" customFormat="1" ht="25.5">
      <c r="A787" s="400" t="s">
        <v>548</v>
      </c>
      <c r="B787" s="327" t="s">
        <v>390</v>
      </c>
      <c r="C787" s="327" t="s">
        <v>593</v>
      </c>
      <c r="D787" s="327" t="s">
        <v>125</v>
      </c>
      <c r="E787" s="327" t="s">
        <v>26</v>
      </c>
      <c r="F787" s="327"/>
      <c r="G787" s="328">
        <v>158400</v>
      </c>
      <c r="H787" s="328">
        <v>158400</v>
      </c>
      <c r="I787" s="328">
        <f t="shared" si="32"/>
        <v>0</v>
      </c>
      <c r="J787" s="297"/>
    </row>
    <row r="788" spans="1:10" s="14" customFormat="1" ht="12.75">
      <c r="A788" s="400"/>
      <c r="B788" s="327" t="s">
        <v>390</v>
      </c>
      <c r="C788" s="327" t="s">
        <v>593</v>
      </c>
      <c r="D788" s="327" t="s">
        <v>125</v>
      </c>
      <c r="E788" s="327" t="s">
        <v>399</v>
      </c>
      <c r="F788" s="327" t="s">
        <v>190</v>
      </c>
      <c r="G788" s="328">
        <f>107999+7000</f>
        <v>114999</v>
      </c>
      <c r="H788" s="328">
        <v>114998</v>
      </c>
      <c r="I788" s="328">
        <f t="shared" si="32"/>
        <v>1</v>
      </c>
      <c r="J788" s="105"/>
    </row>
    <row r="789" spans="1:10" s="138" customFormat="1" ht="12.75">
      <c r="A789" s="400" t="s">
        <v>27</v>
      </c>
      <c r="B789" s="327" t="s">
        <v>390</v>
      </c>
      <c r="C789" s="327" t="s">
        <v>593</v>
      </c>
      <c r="D789" s="327" t="s">
        <v>206</v>
      </c>
      <c r="E789" s="327" t="s">
        <v>28</v>
      </c>
      <c r="F789" s="327" t="s">
        <v>177</v>
      </c>
      <c r="G789" s="328">
        <f>137600+10273-10273+10273+14200</f>
        <v>162073</v>
      </c>
      <c r="H789" s="328">
        <f>137597.7+10273+14169.5</f>
        <v>162040.2</v>
      </c>
      <c r="I789" s="328">
        <f t="shared" si="32"/>
        <v>32.79999999998836</v>
      </c>
      <c r="J789" s="297"/>
    </row>
    <row r="790" spans="1:10" s="138" customFormat="1" ht="12.75">
      <c r="A790" s="409" t="s">
        <v>53</v>
      </c>
      <c r="B790" s="452" t="s">
        <v>390</v>
      </c>
      <c r="C790" s="452" t="s">
        <v>593</v>
      </c>
      <c r="D790" s="452" t="s">
        <v>206</v>
      </c>
      <c r="E790" s="452" t="s">
        <v>54</v>
      </c>
      <c r="F790" s="452" t="s">
        <v>188</v>
      </c>
      <c r="G790" s="453">
        <f>G791+G792+G793+G795+G794</f>
        <v>256008</v>
      </c>
      <c r="H790" s="453">
        <f>H791+H792+H793+H794+H795</f>
        <v>248240.2</v>
      </c>
      <c r="I790" s="453">
        <f>G790-H790</f>
        <v>7767.799999999988</v>
      </c>
      <c r="J790" s="237"/>
    </row>
    <row r="791" spans="1:40" s="221" customFormat="1" ht="51" hidden="1">
      <c r="A791" s="428" t="s">
        <v>737</v>
      </c>
      <c r="B791" s="36"/>
      <c r="C791" s="36"/>
      <c r="D791" s="36"/>
      <c r="E791" s="36"/>
      <c r="F791" s="36"/>
      <c r="G791" s="87">
        <v>24850</v>
      </c>
      <c r="H791" s="87">
        <v>24850</v>
      </c>
      <c r="I791" s="87">
        <f t="shared" si="32"/>
        <v>0</v>
      </c>
      <c r="J791" s="412"/>
      <c r="K791" s="412"/>
      <c r="L791" s="412"/>
      <c r="M791" s="412"/>
      <c r="N791" s="412"/>
      <c r="O791" s="412"/>
      <c r="P791" s="412"/>
      <c r="Q791" s="412"/>
      <c r="R791" s="412"/>
      <c r="S791" s="412"/>
      <c r="T791" s="412"/>
      <c r="U791" s="412"/>
      <c r="V791" s="412"/>
      <c r="W791" s="412"/>
      <c r="X791" s="412"/>
      <c r="Y791" s="412"/>
      <c r="Z791" s="412"/>
      <c r="AA791" s="412"/>
      <c r="AB791" s="412"/>
      <c r="AC791" s="412"/>
      <c r="AD791" s="412"/>
      <c r="AE791" s="412"/>
      <c r="AF791" s="412"/>
      <c r="AG791" s="412"/>
      <c r="AH791" s="412"/>
      <c r="AI791" s="412"/>
      <c r="AJ791" s="412"/>
      <c r="AK791" s="412"/>
      <c r="AL791" s="412"/>
      <c r="AM791" s="412"/>
      <c r="AN791" s="411"/>
    </row>
    <row r="792" spans="1:40" s="221" customFormat="1" ht="12.75" hidden="1">
      <c r="A792" s="221" t="s">
        <v>768</v>
      </c>
      <c r="B792" s="36"/>
      <c r="C792" s="36"/>
      <c r="D792" s="36"/>
      <c r="E792" s="36"/>
      <c r="F792" s="36"/>
      <c r="G792" s="87">
        <v>118100</v>
      </c>
      <c r="H792" s="87">
        <v>118100</v>
      </c>
      <c r="I792" s="87">
        <f t="shared" si="32"/>
        <v>0</v>
      </c>
      <c r="J792" s="412"/>
      <c r="K792" s="412"/>
      <c r="L792" s="412"/>
      <c r="M792" s="412"/>
      <c r="N792" s="412"/>
      <c r="O792" s="412"/>
      <c r="P792" s="412"/>
      <c r="Q792" s="412"/>
      <c r="R792" s="412"/>
      <c r="S792" s="412"/>
      <c r="T792" s="412"/>
      <c r="U792" s="412"/>
      <c r="V792" s="412"/>
      <c r="W792" s="412"/>
      <c r="X792" s="412"/>
      <c r="Y792" s="412"/>
      <c r="Z792" s="412"/>
      <c r="AA792" s="412"/>
      <c r="AB792" s="412"/>
      <c r="AC792" s="412"/>
      <c r="AD792" s="412"/>
      <c r="AE792" s="412"/>
      <c r="AF792" s="412"/>
      <c r="AG792" s="412"/>
      <c r="AH792" s="412"/>
      <c r="AI792" s="412"/>
      <c r="AJ792" s="412"/>
      <c r="AK792" s="412"/>
      <c r="AL792" s="412"/>
      <c r="AM792" s="412"/>
      <c r="AN792" s="411"/>
    </row>
    <row r="793" spans="1:40" s="221" customFormat="1" ht="12.75" hidden="1">
      <c r="A793" s="221" t="s">
        <v>771</v>
      </c>
      <c r="B793" s="36"/>
      <c r="C793" s="36"/>
      <c r="D793" s="36"/>
      <c r="E793" s="36"/>
      <c r="F793" s="36"/>
      <c r="G793" s="87">
        <f>97126-10273-34554</f>
        <v>52299</v>
      </c>
      <c r="H793" s="87">
        <v>52299</v>
      </c>
      <c r="I793" s="87">
        <f t="shared" si="32"/>
        <v>0</v>
      </c>
      <c r="J793" s="412"/>
      <c r="K793" s="412"/>
      <c r="L793" s="412"/>
      <c r="M793" s="412"/>
      <c r="N793" s="412"/>
      <c r="O793" s="412"/>
      <c r="P793" s="412"/>
      <c r="Q793" s="412"/>
      <c r="R793" s="412"/>
      <c r="S793" s="412"/>
      <c r="T793" s="412"/>
      <c r="U793" s="412"/>
      <c r="V793" s="412"/>
      <c r="W793" s="412"/>
      <c r="X793" s="412"/>
      <c r="Y793" s="412"/>
      <c r="Z793" s="412"/>
      <c r="AA793" s="412"/>
      <c r="AB793" s="412"/>
      <c r="AC793" s="412"/>
      <c r="AD793" s="412"/>
      <c r="AE793" s="412"/>
      <c r="AF793" s="412"/>
      <c r="AG793" s="412"/>
      <c r="AH793" s="412"/>
      <c r="AI793" s="412"/>
      <c r="AJ793" s="412"/>
      <c r="AK793" s="412"/>
      <c r="AL793" s="412"/>
      <c r="AM793" s="412"/>
      <c r="AN793" s="411"/>
    </row>
    <row r="794" spans="1:40" s="221" customFormat="1" ht="12.75" hidden="1">
      <c r="A794" s="221" t="s">
        <v>772</v>
      </c>
      <c r="B794" s="36"/>
      <c r="C794" s="36"/>
      <c r="D794" s="36"/>
      <c r="E794" s="36"/>
      <c r="F794" s="36"/>
      <c r="G794" s="87">
        <v>31395</v>
      </c>
      <c r="H794" s="87">
        <v>35951.2</v>
      </c>
      <c r="I794" s="87">
        <f t="shared" si="32"/>
        <v>-4556.199999999997</v>
      </c>
      <c r="J794" s="412"/>
      <c r="K794" s="412"/>
      <c r="L794" s="412"/>
      <c r="M794" s="412"/>
      <c r="N794" s="412"/>
      <c r="O794" s="412"/>
      <c r="P794" s="412"/>
      <c r="Q794" s="412"/>
      <c r="R794" s="412"/>
      <c r="S794" s="412"/>
      <c r="T794" s="412"/>
      <c r="U794" s="412"/>
      <c r="V794" s="412"/>
      <c r="W794" s="412"/>
      <c r="X794" s="412"/>
      <c r="Y794" s="412"/>
      <c r="Z794" s="412"/>
      <c r="AA794" s="412"/>
      <c r="AB794" s="412"/>
      <c r="AC794" s="412"/>
      <c r="AD794" s="412"/>
      <c r="AE794" s="412"/>
      <c r="AF794" s="412"/>
      <c r="AG794" s="412"/>
      <c r="AH794" s="412"/>
      <c r="AI794" s="412"/>
      <c r="AJ794" s="412"/>
      <c r="AK794" s="412"/>
      <c r="AL794" s="412"/>
      <c r="AM794" s="412"/>
      <c r="AN794" s="411"/>
    </row>
    <row r="795" spans="1:40" s="221" customFormat="1" ht="12.75" hidden="1">
      <c r="A795" s="221" t="s">
        <v>876</v>
      </c>
      <c r="B795" s="36"/>
      <c r="C795" s="36"/>
      <c r="D795" s="36"/>
      <c r="E795" s="36"/>
      <c r="F795" s="36"/>
      <c r="G795" s="87">
        <f>801650-97126-31395-137600-432720+10273-10273+34554-107999</f>
        <v>29364</v>
      </c>
      <c r="H795" s="87">
        <v>17040</v>
      </c>
      <c r="I795" s="87">
        <f t="shared" si="32"/>
        <v>12324</v>
      </c>
      <c r="J795" s="412"/>
      <c r="K795" s="412"/>
      <c r="L795" s="412"/>
      <c r="M795" s="412"/>
      <c r="N795" s="412"/>
      <c r="O795" s="412"/>
      <c r="P795" s="412"/>
      <c r="Q795" s="412"/>
      <c r="R795" s="412"/>
      <c r="S795" s="412"/>
      <c r="T795" s="412"/>
      <c r="U795" s="412"/>
      <c r="V795" s="412"/>
      <c r="W795" s="412"/>
      <c r="X795" s="412"/>
      <c r="Y795" s="412"/>
      <c r="Z795" s="412"/>
      <c r="AA795" s="412"/>
      <c r="AB795" s="412"/>
      <c r="AC795" s="412"/>
      <c r="AD795" s="412"/>
      <c r="AE795" s="412"/>
      <c r="AF795" s="412"/>
      <c r="AG795" s="412"/>
      <c r="AH795" s="412"/>
      <c r="AI795" s="412"/>
      <c r="AJ795" s="412"/>
      <c r="AK795" s="412"/>
      <c r="AL795" s="412"/>
      <c r="AM795" s="412"/>
      <c r="AN795" s="411"/>
    </row>
    <row r="796" spans="1:22" s="148" customFormat="1" ht="25.5">
      <c r="A796" s="400" t="s">
        <v>198</v>
      </c>
      <c r="B796" s="327" t="s">
        <v>390</v>
      </c>
      <c r="C796" s="410" t="s">
        <v>593</v>
      </c>
      <c r="D796" s="327" t="s">
        <v>206</v>
      </c>
      <c r="E796" s="327" t="s">
        <v>70</v>
      </c>
      <c r="F796" s="327" t="s">
        <v>191</v>
      </c>
      <c r="G796" s="328">
        <f>G797+G798</f>
        <v>412900</v>
      </c>
      <c r="H796" s="328">
        <f>H797+H798</f>
        <v>412900</v>
      </c>
      <c r="I796" s="328">
        <f>I797+I798</f>
        <v>0</v>
      </c>
      <c r="J796" s="247"/>
      <c r="K796" s="138"/>
      <c r="L796" s="138"/>
      <c r="M796" s="138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10" s="14" customFormat="1" ht="38.25">
      <c r="A797" s="69" t="s">
        <v>604</v>
      </c>
      <c r="B797" s="36"/>
      <c r="C797" s="36"/>
      <c r="D797" s="36"/>
      <c r="E797" s="36"/>
      <c r="F797" s="36"/>
      <c r="G797" s="87">
        <v>403400</v>
      </c>
      <c r="H797" s="87">
        <v>403400</v>
      </c>
      <c r="I797" s="87">
        <f aca="true" t="shared" si="33" ref="I797:I804">G797-H797</f>
        <v>0</v>
      </c>
      <c r="J797" s="242"/>
    </row>
    <row r="798" spans="1:10" s="14" customFormat="1" ht="12.75">
      <c r="A798" s="69" t="s">
        <v>769</v>
      </c>
      <c r="B798" s="36"/>
      <c r="C798" s="36"/>
      <c r="D798" s="36"/>
      <c r="E798" s="36"/>
      <c r="F798" s="36"/>
      <c r="G798" s="87">
        <v>9500</v>
      </c>
      <c r="H798" s="87">
        <v>9500</v>
      </c>
      <c r="I798" s="87">
        <f t="shared" si="33"/>
        <v>0</v>
      </c>
      <c r="J798" s="242"/>
    </row>
    <row r="799" spans="1:22" s="148" customFormat="1" ht="15" customHeight="1">
      <c r="A799" s="336" t="s">
        <v>244</v>
      </c>
      <c r="B799" s="327" t="s">
        <v>390</v>
      </c>
      <c r="C799" s="410" t="s">
        <v>593</v>
      </c>
      <c r="D799" s="327" t="s">
        <v>206</v>
      </c>
      <c r="E799" s="327" t="s">
        <v>398</v>
      </c>
      <c r="F799" s="327" t="s">
        <v>193</v>
      </c>
      <c r="G799" s="328">
        <f>G800+G801+G804+G802+G803</f>
        <v>331346</v>
      </c>
      <c r="H799" s="328">
        <f>H800+H801+H804+H802+H803</f>
        <v>242683</v>
      </c>
      <c r="I799" s="328">
        <f>I800+I801+I804+I802+I803</f>
        <v>88663</v>
      </c>
      <c r="J799" s="247"/>
      <c r="K799" s="138"/>
      <c r="L799" s="245"/>
      <c r="M799" s="138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12" s="14" customFormat="1" ht="38.25">
      <c r="A800" s="69" t="s">
        <v>604</v>
      </c>
      <c r="B800" s="36"/>
      <c r="C800" s="36"/>
      <c r="D800" s="36"/>
      <c r="E800" s="36"/>
      <c r="F800" s="36"/>
      <c r="G800" s="87">
        <v>45600</v>
      </c>
      <c r="H800" s="87">
        <v>45600</v>
      </c>
      <c r="I800" s="87">
        <f t="shared" si="33"/>
        <v>0</v>
      </c>
      <c r="J800" s="242"/>
      <c r="L800" s="242"/>
    </row>
    <row r="801" spans="1:12" s="14" customFormat="1" ht="25.5">
      <c r="A801" s="24" t="s">
        <v>664</v>
      </c>
      <c r="B801" s="36"/>
      <c r="C801" s="36"/>
      <c r="D801" s="36"/>
      <c r="E801" s="36"/>
      <c r="F801" s="36"/>
      <c r="G801" s="87">
        <v>139466.68</v>
      </c>
      <c r="H801" s="87">
        <v>139000</v>
      </c>
      <c r="I801" s="87">
        <f t="shared" si="33"/>
        <v>466.679999999993</v>
      </c>
      <c r="J801" s="242"/>
      <c r="L801" s="242"/>
    </row>
    <row r="802" spans="1:12" s="14" customFormat="1" ht="25.5">
      <c r="A802" s="24" t="s">
        <v>709</v>
      </c>
      <c r="B802" s="36"/>
      <c r="C802" s="36"/>
      <c r="D802" s="36"/>
      <c r="E802" s="36"/>
      <c r="F802" s="36"/>
      <c r="G802" s="87">
        <f>29790+9850</f>
        <v>39640</v>
      </c>
      <c r="H802" s="87">
        <v>23800</v>
      </c>
      <c r="I802" s="87">
        <f t="shared" si="33"/>
        <v>15840</v>
      </c>
      <c r="J802" s="242"/>
      <c r="L802" s="242"/>
    </row>
    <row r="803" spans="1:12" s="14" customFormat="1" ht="25.5">
      <c r="A803" s="24" t="s">
        <v>757</v>
      </c>
      <c r="B803" s="36"/>
      <c r="C803" s="36"/>
      <c r="D803" s="36"/>
      <c r="E803" s="36"/>
      <c r="F803" s="36"/>
      <c r="G803" s="87">
        <v>29246</v>
      </c>
      <c r="H803" s="87">
        <v>29246</v>
      </c>
      <c r="I803" s="87">
        <f t="shared" si="33"/>
        <v>0</v>
      </c>
      <c r="J803" s="242"/>
      <c r="L803" s="242"/>
    </row>
    <row r="804" spans="1:12" s="14" customFormat="1" ht="12.75">
      <c r="A804" s="24" t="s">
        <v>529</v>
      </c>
      <c r="B804" s="36"/>
      <c r="C804" s="36"/>
      <c r="D804" s="36"/>
      <c r="E804" s="36"/>
      <c r="F804" s="36"/>
      <c r="G804" s="87">
        <f>80933.32+45600-29790-9850-29246+29246-9500</f>
        <v>77393.32</v>
      </c>
      <c r="H804" s="87">
        <v>5037</v>
      </c>
      <c r="I804" s="87">
        <f t="shared" si="33"/>
        <v>72356.32</v>
      </c>
      <c r="J804" s="242"/>
      <c r="L804" s="242"/>
    </row>
    <row r="805" spans="1:22" s="148" customFormat="1" ht="25.5">
      <c r="A805" s="400" t="s">
        <v>334</v>
      </c>
      <c r="B805" s="327" t="s">
        <v>390</v>
      </c>
      <c r="C805" s="410" t="s">
        <v>593</v>
      </c>
      <c r="D805" s="327" t="s">
        <v>206</v>
      </c>
      <c r="E805" s="327" t="s">
        <v>399</v>
      </c>
      <c r="F805" s="327" t="s">
        <v>190</v>
      </c>
      <c r="G805" s="328">
        <f>G806+G807+G809+G810+G811+G812+G814+G808+G813+G815+G820+G816+G817+G818+G819</f>
        <v>2608720</v>
      </c>
      <c r="H805" s="328">
        <v>2338781.97</v>
      </c>
      <c r="I805" s="328">
        <f>G805-H805</f>
        <v>269938.0299999998</v>
      </c>
      <c r="J805" s="364"/>
      <c r="K805" s="189"/>
      <c r="L805" s="138"/>
      <c r="M805" s="138"/>
      <c r="N805" s="14"/>
      <c r="O805" s="14"/>
      <c r="P805" s="14"/>
      <c r="Q805" s="14"/>
      <c r="R805" s="14"/>
      <c r="S805" s="14"/>
      <c r="T805" s="14"/>
      <c r="U805" s="14"/>
      <c r="V805" s="14"/>
    </row>
    <row r="806" spans="1:11" s="14" customFormat="1" ht="12.75" hidden="1">
      <c r="A806" s="69" t="s">
        <v>779</v>
      </c>
      <c r="B806" s="44"/>
      <c r="C806" s="420"/>
      <c r="D806" s="44"/>
      <c r="E806" s="44"/>
      <c r="F806" s="44"/>
      <c r="G806" s="87">
        <v>450009.45</v>
      </c>
      <c r="H806" s="87"/>
      <c r="I806" s="87">
        <f>G806-H806</f>
        <v>450009.45</v>
      </c>
      <c r="J806" s="419"/>
      <c r="K806" s="242"/>
    </row>
    <row r="807" spans="1:11" s="14" customFormat="1" ht="12.75" hidden="1">
      <c r="A807" s="69" t="s">
        <v>623</v>
      </c>
      <c r="B807" s="44"/>
      <c r="C807" s="420"/>
      <c r="D807" s="44"/>
      <c r="E807" s="44"/>
      <c r="F807" s="44"/>
      <c r="G807" s="87">
        <v>300000</v>
      </c>
      <c r="H807" s="87"/>
      <c r="I807" s="87">
        <f aca="true" t="shared" si="34" ref="I807:I820">G807-H807</f>
        <v>300000</v>
      </c>
      <c r="J807" s="253"/>
      <c r="K807" s="105"/>
    </row>
    <row r="808" spans="1:11" s="14" customFormat="1" ht="25.5" hidden="1">
      <c r="A808" s="69" t="s">
        <v>787</v>
      </c>
      <c r="B808" s="44"/>
      <c r="C808" s="420"/>
      <c r="D808" s="44"/>
      <c r="E808" s="44"/>
      <c r="F808" s="44"/>
      <c r="G808" s="87">
        <f>59737.98-37282.2</f>
        <v>22455.780000000006</v>
      </c>
      <c r="H808" s="87"/>
      <c r="I808" s="87">
        <f t="shared" si="34"/>
        <v>22455.780000000006</v>
      </c>
      <c r="J808" s="253"/>
      <c r="K808" s="105"/>
    </row>
    <row r="809" spans="1:11" s="14" customFormat="1" ht="12.75" hidden="1">
      <c r="A809" s="69" t="s">
        <v>655</v>
      </c>
      <c r="B809" s="44"/>
      <c r="C809" s="420"/>
      <c r="D809" s="44"/>
      <c r="E809" s="44"/>
      <c r="F809" s="44"/>
      <c r="G809" s="87">
        <v>333570</v>
      </c>
      <c r="H809" s="87"/>
      <c r="I809" s="87">
        <f t="shared" si="34"/>
        <v>333570</v>
      </c>
      <c r="J809" s="253"/>
      <c r="K809" s="105"/>
    </row>
    <row r="810" spans="1:11" s="14" customFormat="1" ht="12.75" hidden="1">
      <c r="A810" s="69" t="s">
        <v>656</v>
      </c>
      <c r="B810" s="44"/>
      <c r="C810" s="420"/>
      <c r="D810" s="44"/>
      <c r="E810" s="44"/>
      <c r="F810" s="44"/>
      <c r="G810" s="87">
        <f>58040-14040</f>
        <v>44000</v>
      </c>
      <c r="H810" s="87"/>
      <c r="I810" s="87">
        <f t="shared" si="34"/>
        <v>44000</v>
      </c>
      <c r="J810" s="253"/>
      <c r="K810" s="105"/>
    </row>
    <row r="811" spans="1:11" s="14" customFormat="1" ht="25.5" hidden="1">
      <c r="A811" s="69" t="s">
        <v>666</v>
      </c>
      <c r="B811" s="44"/>
      <c r="C811" s="420"/>
      <c r="D811" s="44"/>
      <c r="E811" s="44"/>
      <c r="F811" s="44"/>
      <c r="G811" s="87">
        <f>136282.57-58040+124079.23-8092.98</f>
        <v>194228.81999999998</v>
      </c>
      <c r="H811" s="87"/>
      <c r="I811" s="87">
        <f t="shared" si="34"/>
        <v>194228.81999999998</v>
      </c>
      <c r="J811" s="253"/>
      <c r="K811" s="105"/>
    </row>
    <row r="812" spans="1:11" s="14" customFormat="1" ht="38.25" hidden="1">
      <c r="A812" s="69" t="s">
        <v>714</v>
      </c>
      <c r="B812" s="44"/>
      <c r="C812" s="420"/>
      <c r="D812" s="44"/>
      <c r="E812" s="44"/>
      <c r="F812" s="44"/>
      <c r="G812" s="87">
        <f>62583-9583</f>
        <v>53000</v>
      </c>
      <c r="H812" s="87"/>
      <c r="I812" s="87">
        <f t="shared" si="34"/>
        <v>53000</v>
      </c>
      <c r="J812" s="253"/>
      <c r="K812" s="105"/>
    </row>
    <row r="813" spans="1:11" s="14" customFormat="1" ht="12.75" hidden="1">
      <c r="A813" s="69" t="s">
        <v>734</v>
      </c>
      <c r="B813" s="44"/>
      <c r="C813" s="420"/>
      <c r="D813" s="44"/>
      <c r="E813" s="44"/>
      <c r="F813" s="44"/>
      <c r="G813" s="87">
        <f>77466.67-4708.67</f>
        <v>72758</v>
      </c>
      <c r="H813" s="87"/>
      <c r="I813" s="87">
        <f t="shared" si="34"/>
        <v>72758</v>
      </c>
      <c r="J813" s="253"/>
      <c r="K813" s="105"/>
    </row>
    <row r="814" spans="1:11" s="14" customFormat="1" ht="25.5" hidden="1">
      <c r="A814" s="69" t="s">
        <v>760</v>
      </c>
      <c r="B814" s="44"/>
      <c r="C814" s="420"/>
      <c r="D814" s="44"/>
      <c r="E814" s="44"/>
      <c r="F814" s="44"/>
      <c r="G814" s="87">
        <f>279320.77-62583-77466.67+14040+8092.98+9583+4708.67</f>
        <v>175695.75000000006</v>
      </c>
      <c r="H814" s="87"/>
      <c r="I814" s="87">
        <f t="shared" si="34"/>
        <v>175695.75000000006</v>
      </c>
      <c r="J814" s="253"/>
      <c r="K814" s="105"/>
    </row>
    <row r="815" spans="1:11" s="14" customFormat="1" ht="12.75" hidden="1">
      <c r="A815" s="69" t="s">
        <v>780</v>
      </c>
      <c r="B815" s="44"/>
      <c r="C815" s="420"/>
      <c r="D815" s="44"/>
      <c r="E815" s="44"/>
      <c r="F815" s="44"/>
      <c r="G815" s="87">
        <v>247338</v>
      </c>
      <c r="H815" s="87"/>
      <c r="I815" s="87">
        <f t="shared" si="34"/>
        <v>247338</v>
      </c>
      <c r="J815" s="253"/>
      <c r="K815" s="105"/>
    </row>
    <row r="816" spans="1:11" s="14" customFormat="1" ht="25.5" hidden="1">
      <c r="A816" s="69" t="s">
        <v>785</v>
      </c>
      <c r="B816" s="44"/>
      <c r="C816" s="420"/>
      <c r="D816" s="44"/>
      <c r="E816" s="44"/>
      <c r="F816" s="44"/>
      <c r="G816" s="87">
        <v>186781.7</v>
      </c>
      <c r="H816" s="87"/>
      <c r="I816" s="87">
        <f t="shared" si="34"/>
        <v>186781.7</v>
      </c>
      <c r="J816" s="253"/>
      <c r="K816" s="105"/>
    </row>
    <row r="817" spans="1:11" s="14" customFormat="1" ht="25.5" hidden="1">
      <c r="A817" s="69" t="s">
        <v>831</v>
      </c>
      <c r="B817" s="44"/>
      <c r="C817" s="420"/>
      <c r="D817" s="44"/>
      <c r="E817" s="44"/>
      <c r="F817" s="44"/>
      <c r="G817" s="87">
        <v>162720</v>
      </c>
      <c r="H817" s="87"/>
      <c r="I817" s="87">
        <f t="shared" si="34"/>
        <v>162720</v>
      </c>
      <c r="J817" s="253"/>
      <c r="K817" s="105"/>
    </row>
    <row r="818" spans="1:11" s="14" customFormat="1" ht="12.75" hidden="1">
      <c r="A818" s="69" t="s">
        <v>832</v>
      </c>
      <c r="B818" s="44"/>
      <c r="C818" s="420"/>
      <c r="D818" s="44"/>
      <c r="E818" s="44"/>
      <c r="F818" s="44"/>
      <c r="G818" s="87">
        <v>100350</v>
      </c>
      <c r="H818" s="87"/>
      <c r="I818" s="87">
        <f t="shared" si="34"/>
        <v>100350</v>
      </c>
      <c r="J818" s="253"/>
      <c r="K818" s="105"/>
    </row>
    <row r="819" spans="1:11" s="14" customFormat="1" ht="12.75" hidden="1">
      <c r="A819" s="69" t="s">
        <v>843</v>
      </c>
      <c r="B819" s="44"/>
      <c r="C819" s="420"/>
      <c r="D819" s="44"/>
      <c r="E819" s="44"/>
      <c r="F819" s="44"/>
      <c r="G819" s="87">
        <v>189000</v>
      </c>
      <c r="H819" s="87"/>
      <c r="I819" s="87">
        <f t="shared" si="34"/>
        <v>189000</v>
      </c>
      <c r="J819" s="253"/>
      <c r="K819" s="105"/>
    </row>
    <row r="820" spans="1:11" s="14" customFormat="1" ht="12.75" hidden="1">
      <c r="A820" s="69" t="s">
        <v>609</v>
      </c>
      <c r="B820" s="44"/>
      <c r="C820" s="420"/>
      <c r="D820" s="44"/>
      <c r="E820" s="44"/>
      <c r="F820" s="44"/>
      <c r="G820" s="87">
        <f>252662-186781.7+37282.2+432720-162720-100350-189000-7000</f>
        <v>76812.5</v>
      </c>
      <c r="H820" s="87"/>
      <c r="I820" s="87">
        <f t="shared" si="34"/>
        <v>76812.5</v>
      </c>
      <c r="J820" s="253"/>
      <c r="K820" s="105"/>
    </row>
    <row r="821" spans="1:22" s="148" customFormat="1" ht="12.75">
      <c r="A821" s="336" t="s">
        <v>625</v>
      </c>
      <c r="B821" s="327" t="s">
        <v>390</v>
      </c>
      <c r="C821" s="410" t="s">
        <v>593</v>
      </c>
      <c r="D821" s="327" t="s">
        <v>271</v>
      </c>
      <c r="E821" s="327" t="s">
        <v>388</v>
      </c>
      <c r="F821" s="327" t="s">
        <v>194</v>
      </c>
      <c r="G821" s="328">
        <f>345000-25000-14200</f>
        <v>305800</v>
      </c>
      <c r="H821" s="328">
        <v>260000</v>
      </c>
      <c r="I821" s="328">
        <f>G821-H821</f>
        <v>45800</v>
      </c>
      <c r="J821" s="237"/>
      <c r="K821" s="138"/>
      <c r="L821" s="138"/>
      <c r="M821" s="138"/>
      <c r="N821" s="14"/>
      <c r="O821" s="14"/>
      <c r="P821" s="14"/>
      <c r="Q821" s="14"/>
      <c r="R821" s="14"/>
      <c r="S821" s="14"/>
      <c r="T821" s="14"/>
      <c r="U821" s="14"/>
      <c r="V821" s="14"/>
    </row>
    <row r="822" spans="1:22" s="148" customFormat="1" ht="25.5">
      <c r="A822" s="336" t="s">
        <v>626</v>
      </c>
      <c r="B822" s="327" t="s">
        <v>390</v>
      </c>
      <c r="C822" s="410" t="s">
        <v>593</v>
      </c>
      <c r="D822" s="327" t="s">
        <v>240</v>
      </c>
      <c r="E822" s="327" t="s">
        <v>388</v>
      </c>
      <c r="F822" s="327" t="s">
        <v>194</v>
      </c>
      <c r="G822" s="328">
        <v>25000</v>
      </c>
      <c r="H822" s="328">
        <v>25000</v>
      </c>
      <c r="I822" s="328">
        <f>G822-H822</f>
        <v>0</v>
      </c>
      <c r="J822" s="237"/>
      <c r="K822" s="138"/>
      <c r="L822" s="138"/>
      <c r="M822" s="138"/>
      <c r="N822" s="14"/>
      <c r="O822" s="14"/>
      <c r="P822" s="14"/>
      <c r="Q822" s="14"/>
      <c r="R822" s="14"/>
      <c r="S822" s="14"/>
      <c r="T822" s="14"/>
      <c r="U822" s="14"/>
      <c r="V822" s="14"/>
    </row>
    <row r="823" spans="1:10" s="138" customFormat="1" ht="12.75">
      <c r="A823" s="76" t="s">
        <v>156</v>
      </c>
      <c r="B823" s="50" t="s">
        <v>522</v>
      </c>
      <c r="C823" s="72"/>
      <c r="D823" s="72"/>
      <c r="E823" s="72"/>
      <c r="F823" s="72"/>
      <c r="G823" s="91">
        <f>G824+G826+G852+G859</f>
        <v>11296384.31</v>
      </c>
      <c r="H823" s="91">
        <f>H824+H826+H852+H859</f>
        <v>10855583.89</v>
      </c>
      <c r="I823" s="91">
        <f>I824+I826+I852+I859</f>
        <v>440800.4199999999</v>
      </c>
      <c r="J823" s="386"/>
    </row>
    <row r="824" spans="1:9" s="237" customFormat="1" ht="63.75">
      <c r="A824" s="52" t="s">
        <v>296</v>
      </c>
      <c r="B824" s="43" t="s">
        <v>523</v>
      </c>
      <c r="C824" s="44" t="s">
        <v>394</v>
      </c>
      <c r="D824" s="25" t="s">
        <v>480</v>
      </c>
      <c r="E824" s="43" t="s">
        <v>408</v>
      </c>
      <c r="F824" s="43" t="s">
        <v>195</v>
      </c>
      <c r="G824" s="239">
        <v>867912</v>
      </c>
      <c r="H824" s="239">
        <v>836110</v>
      </c>
      <c r="I824" s="87">
        <f>G824-H824</f>
        <v>31802</v>
      </c>
    </row>
    <row r="825" spans="1:10" s="5" customFormat="1" ht="25.5">
      <c r="A825" s="106" t="s">
        <v>231</v>
      </c>
      <c r="B825" s="110"/>
      <c r="C825" s="109"/>
      <c r="D825" s="109"/>
      <c r="E825" s="109"/>
      <c r="F825" s="109"/>
      <c r="G825" s="87"/>
      <c r="H825" s="87"/>
      <c r="I825" s="83"/>
      <c r="J825" s="237"/>
    </row>
    <row r="826" spans="1:10" s="14" customFormat="1" ht="60.75" customHeight="1">
      <c r="A826" s="329" t="s">
        <v>512</v>
      </c>
      <c r="B826" s="254" t="s">
        <v>157</v>
      </c>
      <c r="C826" s="254"/>
      <c r="D826" s="254"/>
      <c r="E826" s="254"/>
      <c r="F826" s="254"/>
      <c r="G826" s="255">
        <f>G827+G835+G837+G838+G841+G849+G850+G851</f>
        <v>6560972.3100000005</v>
      </c>
      <c r="H826" s="255">
        <f>H827+H835+H837+H838+H841+H849+H850+H851</f>
        <v>6463173.890000001</v>
      </c>
      <c r="I826" s="255">
        <f>I827+I835+I837+I838+I841+I849+I850+I851</f>
        <v>97798.41999999993</v>
      </c>
      <c r="J826" s="237"/>
    </row>
    <row r="827" spans="1:11" s="14" customFormat="1" ht="30.75" customHeight="1">
      <c r="A827" s="400" t="s">
        <v>414</v>
      </c>
      <c r="B827" s="327" t="s">
        <v>157</v>
      </c>
      <c r="C827" s="327" t="s">
        <v>596</v>
      </c>
      <c r="D827" s="327" t="s">
        <v>206</v>
      </c>
      <c r="E827" s="327" t="s">
        <v>28</v>
      </c>
      <c r="F827" s="327" t="s">
        <v>177</v>
      </c>
      <c r="G827" s="328">
        <f>30000+2000</f>
        <v>32000</v>
      </c>
      <c r="H827" s="328">
        <v>32000</v>
      </c>
      <c r="I827" s="328">
        <f>G827-H827</f>
        <v>0</v>
      </c>
      <c r="J827" s="396"/>
      <c r="K827" s="138"/>
    </row>
    <row r="828" spans="1:10" s="14" customFormat="1" ht="21.75" customHeight="1" hidden="1">
      <c r="A828" s="211" t="s">
        <v>65</v>
      </c>
      <c r="B828" s="192" t="s">
        <v>157</v>
      </c>
      <c r="C828" s="44"/>
      <c r="D828" s="192" t="s">
        <v>206</v>
      </c>
      <c r="E828" s="192" t="s">
        <v>388</v>
      </c>
      <c r="F828" s="136"/>
      <c r="G828" s="235">
        <f>G834</f>
        <v>0</v>
      </c>
      <c r="H828" s="257">
        <f>H834</f>
        <v>0</v>
      </c>
      <c r="I828" s="87">
        <f aca="true" t="shared" si="35" ref="I828:I834">G828-H828</f>
        <v>0</v>
      </c>
      <c r="J828" s="237"/>
    </row>
    <row r="829" spans="1:22" s="124" customFormat="1" ht="21.75" customHeight="1" hidden="1">
      <c r="A829" s="147" t="s">
        <v>260</v>
      </c>
      <c r="B829" s="136"/>
      <c r="C829" s="44"/>
      <c r="D829" s="136"/>
      <c r="E829" s="136"/>
      <c r="F829" s="136"/>
      <c r="G829" s="87"/>
      <c r="H829" s="137"/>
      <c r="I829" s="87">
        <f t="shared" si="35"/>
        <v>0</v>
      </c>
      <c r="J829" s="237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</row>
    <row r="830" spans="1:22" s="124" customFormat="1" ht="21.75" customHeight="1" hidden="1">
      <c r="A830" s="147" t="s">
        <v>259</v>
      </c>
      <c r="B830" s="136"/>
      <c r="C830" s="44"/>
      <c r="D830" s="136"/>
      <c r="E830" s="136"/>
      <c r="F830" s="136"/>
      <c r="G830" s="87"/>
      <c r="H830" s="137"/>
      <c r="I830" s="87">
        <f t="shared" si="35"/>
        <v>0</v>
      </c>
      <c r="J830" s="237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</row>
    <row r="831" spans="1:22" s="124" customFormat="1" ht="21.75" customHeight="1" hidden="1">
      <c r="A831" s="147" t="s">
        <v>198</v>
      </c>
      <c r="B831" s="136"/>
      <c r="C831" s="44"/>
      <c r="D831" s="136"/>
      <c r="E831" s="136"/>
      <c r="F831" s="136"/>
      <c r="G831" s="87"/>
      <c r="H831" s="137"/>
      <c r="I831" s="87">
        <f t="shared" si="35"/>
        <v>0</v>
      </c>
      <c r="J831" s="237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</row>
    <row r="832" spans="1:22" s="124" customFormat="1" ht="21.75" customHeight="1" hidden="1">
      <c r="A832" s="147" t="s">
        <v>261</v>
      </c>
      <c r="B832" s="136"/>
      <c r="C832" s="44"/>
      <c r="D832" s="136"/>
      <c r="E832" s="136"/>
      <c r="F832" s="136"/>
      <c r="G832" s="87"/>
      <c r="H832" s="137"/>
      <c r="I832" s="87">
        <f t="shared" si="35"/>
        <v>0</v>
      </c>
      <c r="J832" s="237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</row>
    <row r="833" spans="1:22" s="124" customFormat="1" ht="21.75" customHeight="1" hidden="1">
      <c r="A833" s="147" t="s">
        <v>268</v>
      </c>
      <c r="B833" s="136"/>
      <c r="C833" s="44"/>
      <c r="D833" s="136"/>
      <c r="E833" s="136"/>
      <c r="F833" s="136"/>
      <c r="G833" s="87"/>
      <c r="H833" s="137"/>
      <c r="I833" s="87">
        <f t="shared" si="35"/>
        <v>0</v>
      </c>
      <c r="J833" s="237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</row>
    <row r="834" spans="1:22" s="148" customFormat="1" ht="21.75" customHeight="1" hidden="1">
      <c r="A834" s="147" t="s">
        <v>335</v>
      </c>
      <c r="B834" s="136" t="s">
        <v>157</v>
      </c>
      <c r="C834" s="44"/>
      <c r="D834" s="136" t="s">
        <v>206</v>
      </c>
      <c r="E834" s="136" t="s">
        <v>388</v>
      </c>
      <c r="F834" s="136" t="s">
        <v>190</v>
      </c>
      <c r="G834" s="87">
        <v>0</v>
      </c>
      <c r="H834" s="137"/>
      <c r="I834" s="87">
        <f t="shared" si="35"/>
        <v>0</v>
      </c>
      <c r="J834" s="247"/>
      <c r="K834" s="242"/>
      <c r="L834" s="243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2" s="148" customFormat="1" ht="21.75" customHeight="1">
      <c r="A835" s="413" t="s">
        <v>198</v>
      </c>
      <c r="B835" s="327" t="s">
        <v>157</v>
      </c>
      <c r="C835" s="327" t="s">
        <v>596</v>
      </c>
      <c r="D835" s="327" t="s">
        <v>206</v>
      </c>
      <c r="E835" s="327" t="s">
        <v>70</v>
      </c>
      <c r="F835" s="327" t="s">
        <v>191</v>
      </c>
      <c r="G835" s="328">
        <f>G836</f>
        <v>0</v>
      </c>
      <c r="H835" s="328">
        <f>H836</f>
        <v>0</v>
      </c>
      <c r="I835" s="328">
        <f>I836</f>
        <v>0</v>
      </c>
      <c r="J835" s="297"/>
      <c r="K835" s="105"/>
      <c r="L835" s="105"/>
      <c r="M835" s="14"/>
      <c r="N835" s="14"/>
      <c r="O835" s="14"/>
      <c r="P835" s="14"/>
      <c r="Q835" s="14"/>
      <c r="R835" s="14"/>
      <c r="S835" s="14"/>
      <c r="T835" s="14"/>
      <c r="U835" s="14"/>
      <c r="V835" s="14"/>
    </row>
    <row r="836" spans="1:12" s="14" customFormat="1" ht="21.75" customHeight="1">
      <c r="A836" s="212"/>
      <c r="B836" s="36"/>
      <c r="C836" s="36"/>
      <c r="D836" s="36"/>
      <c r="E836" s="36"/>
      <c r="F836" s="36"/>
      <c r="G836" s="87">
        <f>278000-205000-55000-18000</f>
        <v>0</v>
      </c>
      <c r="H836" s="87"/>
      <c r="I836" s="87">
        <f>G836-H836</f>
        <v>0</v>
      </c>
      <c r="J836" s="105"/>
      <c r="K836" s="105"/>
      <c r="L836" s="105"/>
    </row>
    <row r="837" spans="1:12" s="14" customFormat="1" ht="21.75" customHeight="1">
      <c r="A837" s="413" t="s">
        <v>597</v>
      </c>
      <c r="B837" s="327" t="s">
        <v>157</v>
      </c>
      <c r="C837" s="327" t="s">
        <v>596</v>
      </c>
      <c r="D837" s="327" t="s">
        <v>206</v>
      </c>
      <c r="E837" s="327" t="s">
        <v>70</v>
      </c>
      <c r="F837" s="327" t="s">
        <v>521</v>
      </c>
      <c r="G837" s="328">
        <v>205000</v>
      </c>
      <c r="H837" s="328">
        <v>205000</v>
      </c>
      <c r="I837" s="328">
        <f>G837-H837</f>
        <v>0</v>
      </c>
      <c r="J837" s="105"/>
      <c r="K837" s="105"/>
      <c r="L837" s="105"/>
    </row>
    <row r="838" spans="1:10" s="14" customFormat="1" ht="25.5" customHeight="1">
      <c r="A838" s="413" t="s">
        <v>244</v>
      </c>
      <c r="B838" s="327" t="s">
        <v>157</v>
      </c>
      <c r="C838" s="327" t="s">
        <v>596</v>
      </c>
      <c r="D838" s="327" t="s">
        <v>206</v>
      </c>
      <c r="E838" s="327" t="s">
        <v>398</v>
      </c>
      <c r="F838" s="327" t="s">
        <v>193</v>
      </c>
      <c r="G838" s="328">
        <f>G839+G840</f>
        <v>35000</v>
      </c>
      <c r="H838" s="328">
        <f>H839+H840</f>
        <v>34320</v>
      </c>
      <c r="I838" s="328">
        <f>I839+I840</f>
        <v>680</v>
      </c>
      <c r="J838" s="386"/>
    </row>
    <row r="839" spans="1:10" s="14" customFormat="1" ht="25.5" customHeight="1">
      <c r="A839" s="428" t="s">
        <v>810</v>
      </c>
      <c r="B839" s="44"/>
      <c r="C839" s="44"/>
      <c r="D839" s="44"/>
      <c r="E839" s="44"/>
      <c r="F839" s="44"/>
      <c r="G839" s="87">
        <v>35000</v>
      </c>
      <c r="H839" s="87">
        <v>34320</v>
      </c>
      <c r="I839" s="87">
        <f>G839-H839</f>
        <v>680</v>
      </c>
      <c r="J839" s="252"/>
    </row>
    <row r="840" spans="1:10" s="14" customFormat="1" ht="25.5" customHeight="1">
      <c r="A840" s="428"/>
      <c r="B840" s="44"/>
      <c r="C840" s="44"/>
      <c r="D840" s="44"/>
      <c r="E840" s="44"/>
      <c r="F840" s="44"/>
      <c r="G840" s="87"/>
      <c r="H840" s="87"/>
      <c r="I840" s="87">
        <f>G840-H840</f>
        <v>0</v>
      </c>
      <c r="J840" s="252"/>
    </row>
    <row r="841" spans="1:15" s="14" customFormat="1" ht="25.5" customHeight="1">
      <c r="A841" s="413" t="s">
        <v>335</v>
      </c>
      <c r="B841" s="327" t="s">
        <v>157</v>
      </c>
      <c r="C841" s="327" t="s">
        <v>596</v>
      </c>
      <c r="D841" s="327" t="s">
        <v>206</v>
      </c>
      <c r="E841" s="327" t="s">
        <v>399</v>
      </c>
      <c r="F841" s="327" t="s">
        <v>190</v>
      </c>
      <c r="G841" s="328">
        <f>G842+G843+G848+G844+G845+G846+G847</f>
        <v>1196082.31</v>
      </c>
      <c r="H841" s="328">
        <v>1192102.31</v>
      </c>
      <c r="I841" s="328">
        <f>G841-H841</f>
        <v>3980</v>
      </c>
      <c r="J841" s="393"/>
      <c r="K841" s="283"/>
      <c r="L841" s="283"/>
      <c r="M841" s="283"/>
      <c r="N841" s="283"/>
      <c r="O841" s="283"/>
    </row>
    <row r="842" spans="1:15" s="14" customFormat="1" ht="25.5" customHeight="1" hidden="1">
      <c r="A842" s="428" t="s">
        <v>623</v>
      </c>
      <c r="B842" s="44"/>
      <c r="C842" s="44"/>
      <c r="D842" s="44"/>
      <c r="E842" s="44"/>
      <c r="F842" s="44"/>
      <c r="G842" s="87">
        <v>150000</v>
      </c>
      <c r="H842" s="87"/>
      <c r="I842" s="87">
        <f aca="true" t="shared" si="36" ref="I842:I851">G842-H842</f>
        <v>150000</v>
      </c>
      <c r="J842" s="414"/>
      <c r="K842" s="283"/>
      <c r="L842" s="283"/>
      <c r="M842" s="283"/>
      <c r="N842" s="283"/>
      <c r="O842" s="283"/>
    </row>
    <row r="843" spans="1:15" s="14" customFormat="1" ht="25.5" customHeight="1" hidden="1">
      <c r="A843" s="428" t="s">
        <v>668</v>
      </c>
      <c r="B843" s="44"/>
      <c r="C843" s="44"/>
      <c r="D843" s="44"/>
      <c r="E843" s="44"/>
      <c r="F843" s="44"/>
      <c r="G843" s="87">
        <f>373309.2-14954.8</f>
        <v>358354.4</v>
      </c>
      <c r="H843" s="87"/>
      <c r="I843" s="87">
        <f t="shared" si="36"/>
        <v>358354.4</v>
      </c>
      <c r="J843" s="414"/>
      <c r="K843" s="283"/>
      <c r="L843" s="283"/>
      <c r="M843" s="283"/>
      <c r="N843" s="283"/>
      <c r="O843" s="283"/>
    </row>
    <row r="844" spans="1:15" s="14" customFormat="1" ht="25.5" customHeight="1" hidden="1">
      <c r="A844" s="428" t="s">
        <v>716</v>
      </c>
      <c r="B844" s="44"/>
      <c r="C844" s="44"/>
      <c r="D844" s="44"/>
      <c r="E844" s="44"/>
      <c r="F844" s="44"/>
      <c r="G844" s="87">
        <f>175520.4-145.2-9068.94</f>
        <v>166306.25999999998</v>
      </c>
      <c r="H844" s="87"/>
      <c r="I844" s="87">
        <f t="shared" si="36"/>
        <v>166306.25999999998</v>
      </c>
      <c r="J844" s="414"/>
      <c r="K844" s="283"/>
      <c r="L844" s="283"/>
      <c r="M844" s="283"/>
      <c r="N844" s="283"/>
      <c r="O844" s="283"/>
    </row>
    <row r="845" spans="1:15" s="14" customFormat="1" ht="25.5" customHeight="1" hidden="1">
      <c r="A845" s="428" t="s">
        <v>735</v>
      </c>
      <c r="B845" s="44"/>
      <c r="C845" s="44"/>
      <c r="D845" s="44"/>
      <c r="E845" s="44"/>
      <c r="F845" s="44"/>
      <c r="G845" s="87">
        <f>9064-531</f>
        <v>8533</v>
      </c>
      <c r="H845" s="87"/>
      <c r="I845" s="87">
        <f t="shared" si="36"/>
        <v>8533</v>
      </c>
      <c r="J845" s="414"/>
      <c r="K845" s="283"/>
      <c r="L845" s="283"/>
      <c r="M845" s="283"/>
      <c r="N845" s="283"/>
      <c r="O845" s="283"/>
    </row>
    <row r="846" spans="1:15" s="14" customFormat="1" ht="25.5" customHeight="1" hidden="1">
      <c r="A846" s="428" t="s">
        <v>786</v>
      </c>
      <c r="B846" s="44"/>
      <c r="C846" s="44"/>
      <c r="D846" s="44"/>
      <c r="E846" s="44"/>
      <c r="F846" s="44"/>
      <c r="G846" s="87">
        <f>280704.11-6315.46</f>
        <v>274388.64999999997</v>
      </c>
      <c r="H846" s="87"/>
      <c r="I846" s="87">
        <f t="shared" si="36"/>
        <v>274388.64999999997</v>
      </c>
      <c r="J846" s="414"/>
      <c r="K846" s="283"/>
      <c r="L846" s="283"/>
      <c r="M846" s="283"/>
      <c r="N846" s="283"/>
      <c r="O846" s="283"/>
    </row>
    <row r="847" spans="1:15" s="14" customFormat="1" ht="25.5" customHeight="1" hidden="1">
      <c r="A847" s="428" t="s">
        <v>833</v>
      </c>
      <c r="B847" s="44"/>
      <c r="C847" s="44"/>
      <c r="D847" s="44"/>
      <c r="E847" s="44"/>
      <c r="F847" s="44"/>
      <c r="G847" s="87">
        <v>196000</v>
      </c>
      <c r="H847" s="87"/>
      <c r="I847" s="87"/>
      <c r="J847" s="414"/>
      <c r="K847" s="283"/>
      <c r="L847" s="283"/>
      <c r="M847" s="283"/>
      <c r="N847" s="283"/>
      <c r="O847" s="283"/>
    </row>
    <row r="848" spans="1:15" s="14" customFormat="1" ht="25.5" customHeight="1" hidden="1">
      <c r="A848" s="428" t="s">
        <v>529</v>
      </c>
      <c r="B848" s="36"/>
      <c r="C848" s="36"/>
      <c r="D848" s="36"/>
      <c r="E848" s="36"/>
      <c r="F848" s="36"/>
      <c r="G848" s="87">
        <f>948500-373309.2-175520.4-9064-213869+240000-280704.11+9068.94+6315.46+87082.31-196000</f>
        <v>42500.00000000003</v>
      </c>
      <c r="H848" s="87"/>
      <c r="I848" s="87">
        <f>G848-H848</f>
        <v>42500.00000000003</v>
      </c>
      <c r="J848" s="414"/>
      <c r="K848" s="283"/>
      <c r="L848" s="283"/>
      <c r="M848" s="283"/>
      <c r="N848" s="283"/>
      <c r="O848" s="283"/>
    </row>
    <row r="849" spans="1:10" s="14" customFormat="1" ht="25.5" customHeight="1">
      <c r="A849" s="413" t="s">
        <v>598</v>
      </c>
      <c r="B849" s="327" t="s">
        <v>157</v>
      </c>
      <c r="C849" s="327" t="s">
        <v>596</v>
      </c>
      <c r="D849" s="327" t="s">
        <v>209</v>
      </c>
      <c r="E849" s="327" t="s">
        <v>418</v>
      </c>
      <c r="F849" s="327" t="s">
        <v>195</v>
      </c>
      <c r="G849" s="328">
        <f>81000+2000+3869-1369</f>
        <v>85500</v>
      </c>
      <c r="H849" s="328">
        <f>62700+12000+10800</f>
        <v>85500</v>
      </c>
      <c r="I849" s="328">
        <f t="shared" si="36"/>
        <v>0</v>
      </c>
      <c r="J849" s="247"/>
    </row>
    <row r="850" spans="1:10" s="14" customFormat="1" ht="25.5" customHeight="1">
      <c r="A850" s="413" t="s">
        <v>599</v>
      </c>
      <c r="B850" s="327" t="s">
        <v>157</v>
      </c>
      <c r="C850" s="327" t="s">
        <v>596</v>
      </c>
      <c r="D850" s="327" t="s">
        <v>360</v>
      </c>
      <c r="E850" s="327" t="s">
        <v>63</v>
      </c>
      <c r="F850" s="327" t="s">
        <v>195</v>
      </c>
      <c r="G850" s="328">
        <f>616880-246750+954000+579300+500000-87082.31+1087082.31+253960</f>
        <v>3657390</v>
      </c>
      <c r="H850" s="328">
        <v>3564251.58</v>
      </c>
      <c r="I850" s="328">
        <f t="shared" si="36"/>
        <v>93138.41999999993</v>
      </c>
      <c r="J850" s="247"/>
    </row>
    <row r="851" spans="1:10" s="14" customFormat="1" ht="25.5" customHeight="1">
      <c r="A851" s="413" t="s">
        <v>599</v>
      </c>
      <c r="B851" s="327" t="s">
        <v>157</v>
      </c>
      <c r="C851" s="327" t="s">
        <v>596</v>
      </c>
      <c r="D851" s="327" t="s">
        <v>360</v>
      </c>
      <c r="E851" s="327" t="s">
        <v>63</v>
      </c>
      <c r="F851" s="327" t="s">
        <v>500</v>
      </c>
      <c r="G851" s="328">
        <v>1350000</v>
      </c>
      <c r="H851" s="328">
        <v>1350000</v>
      </c>
      <c r="I851" s="328">
        <f t="shared" si="36"/>
        <v>0</v>
      </c>
      <c r="J851" s="247"/>
    </row>
    <row r="852" spans="1:10" s="14" customFormat="1" ht="45.75" customHeight="1">
      <c r="A852" s="311" t="s">
        <v>513</v>
      </c>
      <c r="B852" s="254" t="s">
        <v>157</v>
      </c>
      <c r="C852" s="254"/>
      <c r="D852" s="254"/>
      <c r="E852" s="254"/>
      <c r="F852" s="254"/>
      <c r="G852" s="255">
        <f>G858</f>
        <v>2437500</v>
      </c>
      <c r="H852" s="255">
        <f>H858</f>
        <v>2437500</v>
      </c>
      <c r="I852" s="255">
        <f>I858</f>
        <v>0</v>
      </c>
      <c r="J852" s="237"/>
    </row>
    <row r="853" spans="1:10" s="138" customFormat="1" ht="25.5" customHeight="1" hidden="1">
      <c r="A853" s="186" t="s">
        <v>338</v>
      </c>
      <c r="B853" s="185" t="s">
        <v>157</v>
      </c>
      <c r="C853" s="240"/>
      <c r="D853" s="185"/>
      <c r="E853" s="185"/>
      <c r="F853" s="185"/>
      <c r="G853" s="154">
        <f>+G855</f>
        <v>0</v>
      </c>
      <c r="H853" s="154">
        <f>+H855</f>
        <v>0</v>
      </c>
      <c r="I853" s="154">
        <f>+I855</f>
        <v>0</v>
      </c>
      <c r="J853" s="237"/>
    </row>
    <row r="854" spans="1:10" s="138" customFormat="1" ht="25.5" customHeight="1" hidden="1">
      <c r="A854" s="212"/>
      <c r="B854" s="185" t="s">
        <v>157</v>
      </c>
      <c r="C854" s="240"/>
      <c r="D854" s="185" t="s">
        <v>304</v>
      </c>
      <c r="E854" s="185"/>
      <c r="F854" s="185"/>
      <c r="G854" s="154">
        <f aca="true" t="shared" si="37" ref="G854:I855">G855</f>
        <v>0</v>
      </c>
      <c r="H854" s="154">
        <f t="shared" si="37"/>
        <v>0</v>
      </c>
      <c r="I854" s="154">
        <f t="shared" si="37"/>
        <v>0</v>
      </c>
      <c r="J854" s="237"/>
    </row>
    <row r="855" spans="1:10" s="138" customFormat="1" ht="25.5" customHeight="1" hidden="1">
      <c r="A855" s="37" t="s">
        <v>65</v>
      </c>
      <c r="B855" s="136" t="s">
        <v>157</v>
      </c>
      <c r="C855" s="241"/>
      <c r="D855" s="136" t="s">
        <v>358</v>
      </c>
      <c r="E855" s="136" t="s">
        <v>388</v>
      </c>
      <c r="F855" s="185"/>
      <c r="G855" s="137">
        <f t="shared" si="37"/>
        <v>0</v>
      </c>
      <c r="H855" s="137">
        <f t="shared" si="37"/>
        <v>0</v>
      </c>
      <c r="I855" s="154">
        <f t="shared" si="37"/>
        <v>0</v>
      </c>
      <c r="J855" s="237"/>
    </row>
    <row r="856" spans="1:10" s="138" customFormat="1" ht="25.5" customHeight="1" hidden="1">
      <c r="A856" s="69" t="s">
        <v>339</v>
      </c>
      <c r="B856" s="136" t="s">
        <v>157</v>
      </c>
      <c r="C856" s="241"/>
      <c r="D856" s="136" t="s">
        <v>358</v>
      </c>
      <c r="E856" s="136" t="s">
        <v>388</v>
      </c>
      <c r="F856" s="136" t="s">
        <v>194</v>
      </c>
      <c r="G856" s="137"/>
      <c r="H856" s="137"/>
      <c r="I856" s="137">
        <f>G856-H856</f>
        <v>0</v>
      </c>
      <c r="J856" s="237"/>
    </row>
    <row r="857" spans="1:10" s="124" customFormat="1" ht="38.25" hidden="1">
      <c r="A857" s="69" t="s">
        <v>222</v>
      </c>
      <c r="B857" s="44" t="s">
        <v>157</v>
      </c>
      <c r="C857" s="25"/>
      <c r="D857" s="44"/>
      <c r="E857" s="44"/>
      <c r="F857" s="44"/>
      <c r="G857" s="87"/>
      <c r="H857" s="87"/>
      <c r="I857" s="227"/>
      <c r="J857" s="237"/>
    </row>
    <row r="858" spans="1:30" s="124" customFormat="1" ht="25.5">
      <c r="A858" s="69" t="s">
        <v>337</v>
      </c>
      <c r="B858" s="44" t="s">
        <v>157</v>
      </c>
      <c r="C858" s="25" t="s">
        <v>600</v>
      </c>
      <c r="D858" s="44" t="s">
        <v>210</v>
      </c>
      <c r="E858" s="44" t="s">
        <v>161</v>
      </c>
      <c r="F858" s="44"/>
      <c r="G858" s="87">
        <v>2437500</v>
      </c>
      <c r="H858" s="87">
        <v>2437500</v>
      </c>
      <c r="I858" s="137">
        <f>G858-H858</f>
        <v>0</v>
      </c>
      <c r="J858" s="237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</row>
    <row r="859" spans="1:30" s="124" customFormat="1" ht="25.5">
      <c r="A859" s="415" t="s">
        <v>230</v>
      </c>
      <c r="B859" s="327"/>
      <c r="C859" s="327"/>
      <c r="D859" s="327"/>
      <c r="E859" s="327"/>
      <c r="F859" s="327"/>
      <c r="G859" s="328">
        <f>G860+G861</f>
        <v>1430000</v>
      </c>
      <c r="H859" s="328">
        <f>H860+H861</f>
        <v>1118800</v>
      </c>
      <c r="I859" s="328">
        <f>I860+I861</f>
        <v>311200</v>
      </c>
      <c r="J859" s="237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</row>
    <row r="860" spans="1:10" s="5" customFormat="1" ht="25.5">
      <c r="A860" s="69" t="s">
        <v>555</v>
      </c>
      <c r="B860" s="25" t="s">
        <v>157</v>
      </c>
      <c r="C860" s="44" t="s">
        <v>359</v>
      </c>
      <c r="D860" s="25" t="s">
        <v>206</v>
      </c>
      <c r="E860" s="25" t="s">
        <v>28</v>
      </c>
      <c r="F860" s="25" t="s">
        <v>177</v>
      </c>
      <c r="G860" s="87">
        <v>1280000</v>
      </c>
      <c r="H860" s="87">
        <v>1108000</v>
      </c>
      <c r="I860" s="87">
        <f>G860-H860</f>
        <v>172000</v>
      </c>
      <c r="J860" s="237"/>
    </row>
    <row r="861" spans="1:10" s="5" customFormat="1" ht="22.5" customHeight="1">
      <c r="A861" s="100" t="s">
        <v>365</v>
      </c>
      <c r="B861" s="25" t="s">
        <v>157</v>
      </c>
      <c r="C861" s="236" t="s">
        <v>359</v>
      </c>
      <c r="D861" s="25" t="s">
        <v>360</v>
      </c>
      <c r="E861" s="25" t="s">
        <v>63</v>
      </c>
      <c r="F861" s="25" t="s">
        <v>500</v>
      </c>
      <c r="G861" s="87">
        <f>300000-150000</f>
        <v>150000</v>
      </c>
      <c r="H861" s="83">
        <f>10800</f>
        <v>10800</v>
      </c>
      <c r="I861" s="83">
        <f>G861-H861</f>
        <v>139200</v>
      </c>
      <c r="J861" s="247"/>
    </row>
    <row r="862" spans="1:10" s="5" customFormat="1" ht="39.75" customHeight="1" hidden="1">
      <c r="A862" s="190" t="s">
        <v>331</v>
      </c>
      <c r="B862" s="181" t="s">
        <v>199</v>
      </c>
      <c r="C862" s="181" t="s">
        <v>332</v>
      </c>
      <c r="D862" s="181"/>
      <c r="E862" s="181"/>
      <c r="F862" s="181"/>
      <c r="G862" s="207">
        <f>G863</f>
        <v>0</v>
      </c>
      <c r="H862" s="207"/>
      <c r="I862" s="140"/>
      <c r="J862" s="237"/>
    </row>
    <row r="863" spans="1:10" s="138" customFormat="1" ht="27.75" customHeight="1" hidden="1">
      <c r="A863" s="212" t="s">
        <v>295</v>
      </c>
      <c r="B863" s="185" t="s">
        <v>199</v>
      </c>
      <c r="C863" s="185" t="s">
        <v>332</v>
      </c>
      <c r="D863" s="185" t="s">
        <v>68</v>
      </c>
      <c r="E863" s="185"/>
      <c r="F863" s="185"/>
      <c r="G863" s="137">
        <f>G864+G867</f>
        <v>0</v>
      </c>
      <c r="H863" s="137"/>
      <c r="I863" s="228"/>
      <c r="J863" s="237"/>
    </row>
    <row r="864" spans="1:10" s="138" customFormat="1" ht="25.5" hidden="1">
      <c r="A864" s="100" t="s">
        <v>336</v>
      </c>
      <c r="B864" s="185" t="s">
        <v>199</v>
      </c>
      <c r="C864" s="185" t="s">
        <v>332</v>
      </c>
      <c r="D864" s="185" t="s">
        <v>209</v>
      </c>
      <c r="E864" s="185"/>
      <c r="F864" s="185"/>
      <c r="G864" s="137">
        <f>G865</f>
        <v>0</v>
      </c>
      <c r="H864" s="137"/>
      <c r="I864" s="228"/>
      <c r="J864" s="237"/>
    </row>
    <row r="865" spans="1:10" s="138" customFormat="1" ht="12.75" hidden="1">
      <c r="A865" s="213" t="s">
        <v>53</v>
      </c>
      <c r="B865" s="192" t="s">
        <v>199</v>
      </c>
      <c r="C865" s="192" t="s">
        <v>332</v>
      </c>
      <c r="D865" s="192" t="s">
        <v>209</v>
      </c>
      <c r="E865" s="192" t="s">
        <v>54</v>
      </c>
      <c r="F865" s="185"/>
      <c r="G865" s="137">
        <f>G866</f>
        <v>0</v>
      </c>
      <c r="H865" s="137"/>
      <c r="I865" s="228"/>
      <c r="J865" s="237"/>
    </row>
    <row r="866" spans="1:10" s="138" customFormat="1" ht="12" customHeight="1" hidden="1">
      <c r="A866" s="37" t="s">
        <v>340</v>
      </c>
      <c r="B866" s="136" t="s">
        <v>199</v>
      </c>
      <c r="C866" s="136" t="s">
        <v>332</v>
      </c>
      <c r="D866" s="136" t="s">
        <v>209</v>
      </c>
      <c r="E866" s="136" t="s">
        <v>54</v>
      </c>
      <c r="F866" s="136" t="s">
        <v>188</v>
      </c>
      <c r="G866" s="137">
        <v>0</v>
      </c>
      <c r="H866" s="137"/>
      <c r="I866" s="228"/>
      <c r="J866" s="237"/>
    </row>
    <row r="867" spans="1:10" s="138" customFormat="1" ht="7.5" customHeight="1" hidden="1">
      <c r="A867" s="187" t="s">
        <v>340</v>
      </c>
      <c r="B867" s="136" t="s">
        <v>199</v>
      </c>
      <c r="C867" s="136" t="s">
        <v>332</v>
      </c>
      <c r="D867" s="136" t="s">
        <v>206</v>
      </c>
      <c r="E867" s="136" t="s">
        <v>54</v>
      </c>
      <c r="F867" s="136" t="s">
        <v>188</v>
      </c>
      <c r="G867" s="137">
        <v>0</v>
      </c>
      <c r="H867" s="137"/>
      <c r="I867" s="228"/>
      <c r="J867" s="237"/>
    </row>
    <row r="868" spans="1:10" s="5" customFormat="1" ht="25.5">
      <c r="A868" s="75" t="s">
        <v>166</v>
      </c>
      <c r="B868" s="50" t="s">
        <v>159</v>
      </c>
      <c r="C868" s="50"/>
      <c r="D868" s="50"/>
      <c r="E868" s="50"/>
      <c r="F868" s="50"/>
      <c r="G868" s="91">
        <f>G870</f>
        <v>5905115</v>
      </c>
      <c r="H868" s="91">
        <f>H870</f>
        <v>5890855.64</v>
      </c>
      <c r="I868" s="91">
        <f>I870</f>
        <v>14259.36</v>
      </c>
      <c r="J868" s="237"/>
    </row>
    <row r="869" spans="1:10" s="5" customFormat="1" ht="25.5">
      <c r="A869" s="106" t="s">
        <v>231</v>
      </c>
      <c r="B869" s="36"/>
      <c r="C869" s="36"/>
      <c r="D869" s="36"/>
      <c r="E869" s="36"/>
      <c r="F869" s="36"/>
      <c r="G869" s="87"/>
      <c r="H869" s="87"/>
      <c r="I869" s="87"/>
      <c r="J869" s="237"/>
    </row>
    <row r="870" spans="1:10" s="14" customFormat="1" ht="71.25">
      <c r="A870" s="311" t="s">
        <v>514</v>
      </c>
      <c r="B870" s="254" t="s">
        <v>182</v>
      </c>
      <c r="C870" s="330"/>
      <c r="D870" s="331"/>
      <c r="E870" s="331"/>
      <c r="F870" s="331"/>
      <c r="G870" s="255">
        <f>G874+G876+G882+G889+G896+G897+G875</f>
        <v>5905115</v>
      </c>
      <c r="H870" s="255">
        <f>H874+H876+H882+H889+H896+H897+H875</f>
        <v>5890855.64</v>
      </c>
      <c r="I870" s="255">
        <f>I874+I876+I882+I889+I896+I897+I875</f>
        <v>14259.36</v>
      </c>
      <c r="J870" s="386"/>
    </row>
    <row r="871" spans="1:10" s="138" customFormat="1" ht="17.25" customHeight="1" hidden="1">
      <c r="A871" s="147" t="s">
        <v>259</v>
      </c>
      <c r="B871" s="136" t="s">
        <v>182</v>
      </c>
      <c r="C871" s="136"/>
      <c r="D871" s="136" t="s">
        <v>125</v>
      </c>
      <c r="E871" s="136" t="s">
        <v>388</v>
      </c>
      <c r="F871" s="136" t="s">
        <v>190</v>
      </c>
      <c r="G871" s="137">
        <v>0</v>
      </c>
      <c r="H871" s="137"/>
      <c r="I871" s="228"/>
      <c r="J871" s="237"/>
    </row>
    <row r="872" spans="1:10" s="138" customFormat="1" ht="15" customHeight="1" hidden="1">
      <c r="A872" s="211" t="s">
        <v>27</v>
      </c>
      <c r="B872" s="192" t="s">
        <v>182</v>
      </c>
      <c r="C872" s="136"/>
      <c r="D872" s="192" t="s">
        <v>206</v>
      </c>
      <c r="E872" s="192" t="s">
        <v>28</v>
      </c>
      <c r="F872" s="136"/>
      <c r="G872" s="137">
        <f>G873</f>
        <v>0</v>
      </c>
      <c r="H872" s="137">
        <f>H873</f>
        <v>0</v>
      </c>
      <c r="I872" s="137">
        <f>I873</f>
        <v>0</v>
      </c>
      <c r="J872" s="237"/>
    </row>
    <row r="873" spans="1:10" s="138" customFormat="1" ht="17.25" customHeight="1" hidden="1">
      <c r="A873" s="147" t="s">
        <v>341</v>
      </c>
      <c r="B873" s="136" t="s">
        <v>182</v>
      </c>
      <c r="C873" s="136"/>
      <c r="D873" s="136" t="s">
        <v>206</v>
      </c>
      <c r="E873" s="136" t="s">
        <v>28</v>
      </c>
      <c r="F873" s="136" t="s">
        <v>177</v>
      </c>
      <c r="G873" s="87">
        <f>559600-559600</f>
        <v>0</v>
      </c>
      <c r="H873" s="137"/>
      <c r="I873" s="137">
        <f>G873-H873</f>
        <v>0</v>
      </c>
      <c r="J873" s="237"/>
    </row>
    <row r="874" spans="1:10" s="138" customFormat="1" ht="17.25" customHeight="1">
      <c r="A874" s="413" t="s">
        <v>342</v>
      </c>
      <c r="B874" s="327" t="s">
        <v>182</v>
      </c>
      <c r="C874" s="327" t="s">
        <v>627</v>
      </c>
      <c r="D874" s="327" t="s">
        <v>82</v>
      </c>
      <c r="E874" s="327" t="s">
        <v>54</v>
      </c>
      <c r="F874" s="327" t="s">
        <v>194</v>
      </c>
      <c r="G874" s="328">
        <f>2910000-484805-39300+103600+500000+800000+434432+19400</f>
        <v>4243327</v>
      </c>
      <c r="H874" s="328">
        <v>4239663</v>
      </c>
      <c r="I874" s="328">
        <f>G874-H874</f>
        <v>3664</v>
      </c>
      <c r="J874" s="237"/>
    </row>
    <row r="875" spans="1:10" s="138" customFormat="1" ht="17.25" customHeight="1">
      <c r="A875" s="413" t="s">
        <v>27</v>
      </c>
      <c r="B875" s="327" t="s">
        <v>182</v>
      </c>
      <c r="C875" s="327" t="s">
        <v>627</v>
      </c>
      <c r="D875" s="327" t="s">
        <v>206</v>
      </c>
      <c r="E875" s="327" t="s">
        <v>28</v>
      </c>
      <c r="F875" s="327" t="s">
        <v>177</v>
      </c>
      <c r="G875" s="328">
        <f>15000-8332</f>
        <v>6668</v>
      </c>
      <c r="H875" s="328">
        <v>6668</v>
      </c>
      <c r="I875" s="328">
        <f>G875-H875</f>
        <v>0</v>
      </c>
      <c r="J875" s="237"/>
    </row>
    <row r="876" spans="1:11" s="138" customFormat="1" ht="17.25" customHeight="1">
      <c r="A876" s="413" t="s">
        <v>601</v>
      </c>
      <c r="B876" s="327" t="s">
        <v>182</v>
      </c>
      <c r="C876" s="327" t="s">
        <v>627</v>
      </c>
      <c r="D876" s="327" t="s">
        <v>206</v>
      </c>
      <c r="E876" s="327" t="s">
        <v>54</v>
      </c>
      <c r="F876" s="327" t="s">
        <v>188</v>
      </c>
      <c r="G876" s="328">
        <f>G879+G880+G881</f>
        <v>110000</v>
      </c>
      <c r="H876" s="328">
        <f>H879+H880+H881</f>
        <v>110000</v>
      </c>
      <c r="I876" s="328">
        <f>I879+I880+I881</f>
        <v>0</v>
      </c>
      <c r="J876" s="252"/>
      <c r="K876" s="306"/>
    </row>
    <row r="877" spans="1:10" s="138" customFormat="1" ht="17.25" customHeight="1" hidden="1">
      <c r="A877" s="211" t="s">
        <v>65</v>
      </c>
      <c r="B877" s="192" t="s">
        <v>182</v>
      </c>
      <c r="C877" s="136"/>
      <c r="D877" s="192" t="s">
        <v>206</v>
      </c>
      <c r="E877" s="192" t="s">
        <v>388</v>
      </c>
      <c r="F877" s="136"/>
      <c r="G877" s="87">
        <f>G878</f>
        <v>0</v>
      </c>
      <c r="H877" s="137">
        <f>H878</f>
        <v>0</v>
      </c>
      <c r="I877" s="137">
        <f>I878</f>
        <v>0</v>
      </c>
      <c r="J877" s="237"/>
    </row>
    <row r="878" spans="1:14" s="138" customFormat="1" ht="15.75" customHeight="1" hidden="1">
      <c r="A878" s="147" t="s">
        <v>259</v>
      </c>
      <c r="B878" s="136" t="s">
        <v>182</v>
      </c>
      <c r="C878" s="136"/>
      <c r="D878" s="136" t="s">
        <v>206</v>
      </c>
      <c r="E878" s="136" t="s">
        <v>388</v>
      </c>
      <c r="F878" s="136" t="s">
        <v>190</v>
      </c>
      <c r="G878" s="87">
        <v>0</v>
      </c>
      <c r="H878" s="137"/>
      <c r="I878" s="137">
        <f>G878-H878</f>
        <v>0</v>
      </c>
      <c r="J878" s="374"/>
      <c r="K878" s="245"/>
      <c r="L878" s="245"/>
      <c r="M878" s="245"/>
      <c r="N878" s="245"/>
    </row>
    <row r="879" spans="1:14" s="138" customFormat="1" ht="15.75" customHeight="1">
      <c r="A879" s="147" t="s">
        <v>706</v>
      </c>
      <c r="B879" s="136"/>
      <c r="C879" s="136"/>
      <c r="D879" s="136"/>
      <c r="E879" s="136"/>
      <c r="F879" s="136"/>
      <c r="G879" s="87">
        <f>80000-40000</f>
        <v>40000</v>
      </c>
      <c r="H879" s="137">
        <f>40000</f>
        <v>40000</v>
      </c>
      <c r="I879" s="137">
        <f>G879-H879</f>
        <v>0</v>
      </c>
      <c r="J879" s="374"/>
      <c r="K879" s="245"/>
      <c r="L879" s="245"/>
      <c r="M879" s="245"/>
      <c r="N879" s="245"/>
    </row>
    <row r="880" spans="1:14" s="138" customFormat="1" ht="15.75" customHeight="1">
      <c r="A880" s="147" t="s">
        <v>754</v>
      </c>
      <c r="B880" s="136"/>
      <c r="C880" s="136"/>
      <c r="D880" s="136"/>
      <c r="E880" s="136"/>
      <c r="F880" s="136"/>
      <c r="G880" s="87">
        <v>70000</v>
      </c>
      <c r="H880" s="137">
        <v>70000</v>
      </c>
      <c r="I880" s="137">
        <f>G880-H880</f>
        <v>0</v>
      </c>
      <c r="J880" s="374"/>
      <c r="K880" s="245"/>
      <c r="L880" s="245"/>
      <c r="M880" s="245"/>
      <c r="N880" s="245"/>
    </row>
    <row r="881" spans="1:14" s="138" customFormat="1" ht="15.75" customHeight="1">
      <c r="A881" s="147"/>
      <c r="B881" s="136"/>
      <c r="C881" s="136"/>
      <c r="D881" s="136"/>
      <c r="E881" s="136"/>
      <c r="F881" s="136"/>
      <c r="G881" s="87">
        <f>95000-70000-25000</f>
        <v>0</v>
      </c>
      <c r="H881" s="137"/>
      <c r="I881" s="137">
        <f>G881-H881</f>
        <v>0</v>
      </c>
      <c r="J881" s="374"/>
      <c r="K881" s="245"/>
      <c r="L881" s="245"/>
      <c r="M881" s="245"/>
      <c r="N881" s="245"/>
    </row>
    <row r="882" spans="1:12" s="138" customFormat="1" ht="15.75" customHeight="1">
      <c r="A882" s="413" t="s">
        <v>198</v>
      </c>
      <c r="B882" s="327" t="s">
        <v>182</v>
      </c>
      <c r="C882" s="327" t="s">
        <v>627</v>
      </c>
      <c r="D882" s="327" t="s">
        <v>206</v>
      </c>
      <c r="E882" s="327" t="s">
        <v>70</v>
      </c>
      <c r="F882" s="327" t="s">
        <v>191</v>
      </c>
      <c r="G882" s="328">
        <f>G883+G884+G885</f>
        <v>170041</v>
      </c>
      <c r="H882" s="328">
        <f>H883+H884+H885</f>
        <v>170000</v>
      </c>
      <c r="I882" s="328">
        <f>I883+I884+I885</f>
        <v>41</v>
      </c>
      <c r="J882" s="247"/>
      <c r="L882" s="245"/>
    </row>
    <row r="883" spans="1:12" s="14" customFormat="1" ht="15.75" customHeight="1">
      <c r="A883" s="428" t="s">
        <v>657</v>
      </c>
      <c r="B883" s="36"/>
      <c r="C883" s="36"/>
      <c r="D883" s="36"/>
      <c r="E883" s="36"/>
      <c r="F883" s="36"/>
      <c r="G883" s="87">
        <f>196679-26679</f>
        <v>170000</v>
      </c>
      <c r="H883" s="87">
        <v>170000</v>
      </c>
      <c r="I883" s="87">
        <f>G883-H883</f>
        <v>0</v>
      </c>
      <c r="J883" s="242"/>
      <c r="L883" s="242"/>
    </row>
    <row r="884" spans="1:12" s="14" customFormat="1" ht="15.75" customHeight="1">
      <c r="A884" s="428" t="s">
        <v>713</v>
      </c>
      <c r="B884" s="36"/>
      <c r="C884" s="36"/>
      <c r="D884" s="36"/>
      <c r="E884" s="36"/>
      <c r="F884" s="36"/>
      <c r="G884" s="87">
        <f>187962-187921</f>
        <v>41</v>
      </c>
      <c r="H884" s="87"/>
      <c r="I884" s="87">
        <f>G884-H884</f>
        <v>41</v>
      </c>
      <c r="J884" s="242"/>
      <c r="L884" s="242"/>
    </row>
    <row r="885" spans="1:12" s="14" customFormat="1" ht="15.75" customHeight="1">
      <c r="A885" s="428"/>
      <c r="B885" s="36"/>
      <c r="C885" s="36"/>
      <c r="D885" s="36"/>
      <c r="E885" s="36"/>
      <c r="F885" s="36"/>
      <c r="G885" s="87">
        <f>57000-57000</f>
        <v>0</v>
      </c>
      <c r="H885" s="87"/>
      <c r="I885" s="87">
        <f>G885-H885</f>
        <v>0</v>
      </c>
      <c r="J885" s="242"/>
      <c r="L885" s="242"/>
    </row>
    <row r="886" spans="1:10" s="138" customFormat="1" ht="15.75" customHeight="1">
      <c r="A886" s="336" t="s">
        <v>244</v>
      </c>
      <c r="B886" s="327" t="s">
        <v>182</v>
      </c>
      <c r="C886" s="327" t="s">
        <v>627</v>
      </c>
      <c r="D886" s="327" t="s">
        <v>206</v>
      </c>
      <c r="E886" s="327" t="s">
        <v>398</v>
      </c>
      <c r="F886" s="327" t="s">
        <v>193</v>
      </c>
      <c r="G886" s="328">
        <f>G887+G888</f>
        <v>0</v>
      </c>
      <c r="H886" s="328">
        <f>H887+H888</f>
        <v>0</v>
      </c>
      <c r="I886" s="328">
        <f>I887+I888</f>
        <v>0</v>
      </c>
      <c r="J886" s="237"/>
    </row>
    <row r="887" spans="1:9" s="14" customFormat="1" ht="15.75" customHeight="1">
      <c r="A887" s="45"/>
      <c r="B887" s="36"/>
      <c r="C887" s="36"/>
      <c r="D887" s="36"/>
      <c r="E887" s="36"/>
      <c r="F887" s="36"/>
      <c r="G887" s="87"/>
      <c r="H887" s="87"/>
      <c r="I887" s="87">
        <f>G887-H887</f>
        <v>0</v>
      </c>
    </row>
    <row r="888" spans="1:9" s="14" customFormat="1" ht="15.75" customHeight="1">
      <c r="A888" s="45"/>
      <c r="B888" s="36"/>
      <c r="C888" s="36"/>
      <c r="D888" s="36"/>
      <c r="E888" s="36"/>
      <c r="F888" s="36"/>
      <c r="G888" s="87"/>
      <c r="H888" s="87"/>
      <c r="I888" s="87">
        <f>G888-H888</f>
        <v>0</v>
      </c>
    </row>
    <row r="889" spans="1:11" s="138" customFormat="1" ht="15.75" customHeight="1">
      <c r="A889" s="413" t="s">
        <v>259</v>
      </c>
      <c r="B889" s="327" t="s">
        <v>182</v>
      </c>
      <c r="C889" s="327" t="s">
        <v>627</v>
      </c>
      <c r="D889" s="327" t="s">
        <v>206</v>
      </c>
      <c r="E889" s="327" t="s">
        <v>399</v>
      </c>
      <c r="F889" s="327" t="s">
        <v>190</v>
      </c>
      <c r="G889" s="328">
        <f>G890+G892+G893+G891+G894+G895</f>
        <v>712979.0000000001</v>
      </c>
      <c r="H889" s="328">
        <f>H890+H892+H893+H891+H894+H895</f>
        <v>712516.64</v>
      </c>
      <c r="I889" s="328">
        <f>I890+I892+I893+I891+I894+I895</f>
        <v>462.3600000000006</v>
      </c>
      <c r="J889" s="364"/>
      <c r="K889" s="189"/>
    </row>
    <row r="890" spans="1:11" s="14" customFormat="1" ht="15.75" customHeight="1">
      <c r="A890" s="428" t="s">
        <v>623</v>
      </c>
      <c r="B890" s="36"/>
      <c r="C890" s="36"/>
      <c r="D890" s="36"/>
      <c r="E890" s="36"/>
      <c r="F890" s="36"/>
      <c r="G890" s="87">
        <f>385115+24885</f>
        <v>410000</v>
      </c>
      <c r="H890" s="87">
        <v>410000</v>
      </c>
      <c r="I890" s="87">
        <f>G890-H890</f>
        <v>0</v>
      </c>
      <c r="J890" s="253"/>
      <c r="K890" s="105"/>
    </row>
    <row r="891" spans="1:11" s="14" customFormat="1" ht="15.75" customHeight="1">
      <c r="A891" s="428" t="s">
        <v>646</v>
      </c>
      <c r="B891" s="36"/>
      <c r="C891" s="36"/>
      <c r="D891" s="36"/>
      <c r="E891" s="36"/>
      <c r="F891" s="36"/>
      <c r="G891" s="87">
        <v>39927.42</v>
      </c>
      <c r="H891" s="87"/>
      <c r="I891" s="87">
        <f>G891-H891</f>
        <v>39927.42</v>
      </c>
      <c r="J891" s="253"/>
      <c r="K891" s="105"/>
    </row>
    <row r="892" spans="1:11" s="14" customFormat="1" ht="15.75" customHeight="1">
      <c r="A892" s="428" t="s">
        <v>667</v>
      </c>
      <c r="B892" s="36"/>
      <c r="C892" s="36"/>
      <c r="D892" s="36"/>
      <c r="E892" s="36"/>
      <c r="F892" s="36"/>
      <c r="G892" s="87">
        <f>159885-24885-39972.42+45</f>
        <v>95072.58</v>
      </c>
      <c r="H892" s="87">
        <v>91016.64</v>
      </c>
      <c r="I892" s="87">
        <f aca="true" t="shared" si="38" ref="I892:I897">G892-H892</f>
        <v>4055.9400000000023</v>
      </c>
      <c r="J892" s="253"/>
      <c r="K892" s="105"/>
    </row>
    <row r="893" spans="1:11" s="14" customFormat="1" ht="15.75" customHeight="1">
      <c r="A893" s="428" t="s">
        <v>702</v>
      </c>
      <c r="B893" s="44"/>
      <c r="C893" s="44"/>
      <c r="D893" s="44"/>
      <c r="E893" s="44"/>
      <c r="F893" s="44"/>
      <c r="G893" s="87">
        <f>39300</f>
        <v>39300</v>
      </c>
      <c r="H893" s="87">
        <f>39300+57000</f>
        <v>96300</v>
      </c>
      <c r="I893" s="87">
        <f t="shared" si="38"/>
        <v>-57000</v>
      </c>
      <c r="J893" s="253"/>
      <c r="K893" s="105"/>
    </row>
    <row r="894" spans="1:11" s="14" customFormat="1" ht="15.75" customHeight="1">
      <c r="A894" s="428" t="s">
        <v>715</v>
      </c>
      <c r="B894" s="44"/>
      <c r="C894" s="44"/>
      <c r="D894" s="44"/>
      <c r="E894" s="44"/>
      <c r="F894" s="44"/>
      <c r="G894" s="87">
        <f>105000-3000</f>
        <v>102000</v>
      </c>
      <c r="H894" s="87">
        <v>90400</v>
      </c>
      <c r="I894" s="87">
        <f t="shared" si="38"/>
        <v>11600</v>
      </c>
      <c r="J894" s="253"/>
      <c r="K894" s="105"/>
    </row>
    <row r="895" spans="1:11" s="14" customFormat="1" ht="15.75" customHeight="1">
      <c r="A895" s="428" t="s">
        <v>731</v>
      </c>
      <c r="B895" s="44"/>
      <c r="C895" s="44"/>
      <c r="D895" s="44"/>
      <c r="E895" s="44"/>
      <c r="F895" s="44"/>
      <c r="G895" s="87">
        <v>26679</v>
      </c>
      <c r="H895" s="87">
        <v>24800</v>
      </c>
      <c r="I895" s="87">
        <f t="shared" si="38"/>
        <v>1879</v>
      </c>
      <c r="J895" s="253"/>
      <c r="K895" s="105"/>
    </row>
    <row r="896" spans="1:10" s="138" customFormat="1" ht="36" customHeight="1">
      <c r="A896" s="336" t="s">
        <v>343</v>
      </c>
      <c r="B896" s="327" t="s">
        <v>182</v>
      </c>
      <c r="C896" s="327" t="s">
        <v>627</v>
      </c>
      <c r="D896" s="327" t="s">
        <v>240</v>
      </c>
      <c r="E896" s="327" t="s">
        <v>388</v>
      </c>
      <c r="F896" s="327" t="s">
        <v>194</v>
      </c>
      <c r="G896" s="328">
        <f>510000-185000-143500-19400</f>
        <v>162100</v>
      </c>
      <c r="H896" s="328">
        <f>26408+9600+24000+60000+18000+24000</f>
        <v>162008</v>
      </c>
      <c r="I896" s="328">
        <f t="shared" si="38"/>
        <v>92</v>
      </c>
      <c r="J896" s="237"/>
    </row>
    <row r="897" spans="1:10" s="138" customFormat="1" ht="36" customHeight="1">
      <c r="A897" s="336" t="s">
        <v>686</v>
      </c>
      <c r="B897" s="327" t="s">
        <v>182</v>
      </c>
      <c r="C897" s="327" t="s">
        <v>627</v>
      </c>
      <c r="D897" s="327" t="s">
        <v>240</v>
      </c>
      <c r="E897" s="327" t="s">
        <v>388</v>
      </c>
      <c r="F897" s="327" t="s">
        <v>521</v>
      </c>
      <c r="G897" s="328">
        <v>500000</v>
      </c>
      <c r="H897" s="328">
        <v>490000</v>
      </c>
      <c r="I897" s="328">
        <f t="shared" si="38"/>
        <v>10000</v>
      </c>
      <c r="J897" s="237"/>
    </row>
    <row r="898" spans="1:10" s="138" customFormat="1" ht="15.75" customHeight="1">
      <c r="A898" s="76" t="s">
        <v>344</v>
      </c>
      <c r="B898" s="50" t="s">
        <v>201</v>
      </c>
      <c r="C898" s="50"/>
      <c r="D898" s="50"/>
      <c r="E898" s="50"/>
      <c r="F898" s="50"/>
      <c r="G898" s="91">
        <f>G901+G900</f>
        <v>26000</v>
      </c>
      <c r="H898" s="91">
        <f>H901+H900</f>
        <v>23299</v>
      </c>
      <c r="I898" s="91">
        <f>I901+I900</f>
        <v>2701</v>
      </c>
      <c r="J898" s="237"/>
    </row>
    <row r="899" spans="1:10" s="5" customFormat="1" ht="25.5">
      <c r="A899" s="107" t="s">
        <v>230</v>
      </c>
      <c r="B899" s="36"/>
      <c r="C899" s="36"/>
      <c r="D899" s="36"/>
      <c r="E899" s="36"/>
      <c r="F899" s="36"/>
      <c r="G899" s="87"/>
      <c r="H899" s="87"/>
      <c r="I899" s="83"/>
      <c r="J899" s="237"/>
    </row>
    <row r="900" spans="1:10" s="5" customFormat="1" ht="25.5">
      <c r="A900" s="69" t="s">
        <v>175</v>
      </c>
      <c r="B900" s="25" t="s">
        <v>203</v>
      </c>
      <c r="C900" s="44" t="s">
        <v>345</v>
      </c>
      <c r="D900" s="25" t="s">
        <v>80</v>
      </c>
      <c r="E900" s="25" t="s">
        <v>54</v>
      </c>
      <c r="F900" s="25" t="s">
        <v>187</v>
      </c>
      <c r="G900" s="87">
        <v>1299</v>
      </c>
      <c r="H900" s="87">
        <f>1299</f>
        <v>1299</v>
      </c>
      <c r="I900" s="137">
        <f>G900-H900</f>
        <v>0</v>
      </c>
      <c r="J900" s="237"/>
    </row>
    <row r="901" spans="1:10" s="14" customFormat="1" ht="25.5">
      <c r="A901" s="69" t="s">
        <v>175</v>
      </c>
      <c r="B901" s="25" t="s">
        <v>203</v>
      </c>
      <c r="C901" s="44" t="s">
        <v>345</v>
      </c>
      <c r="D901" s="25" t="s">
        <v>125</v>
      </c>
      <c r="E901" s="25" t="s">
        <v>54</v>
      </c>
      <c r="F901" s="25" t="s">
        <v>187</v>
      </c>
      <c r="G901" s="87">
        <f>24500+1500-1299</f>
        <v>24701</v>
      </c>
      <c r="H901" s="83">
        <f>22000</f>
        <v>22000</v>
      </c>
      <c r="I901" s="137">
        <f>G901-H901</f>
        <v>2701</v>
      </c>
      <c r="J901" s="237"/>
    </row>
    <row r="902" spans="1:12" s="5" customFormat="1" ht="25.5">
      <c r="A902" s="74" t="s">
        <v>158</v>
      </c>
      <c r="B902" s="50" t="s">
        <v>200</v>
      </c>
      <c r="C902" s="50"/>
      <c r="D902" s="50"/>
      <c r="E902" s="72"/>
      <c r="F902" s="72"/>
      <c r="G902" s="91">
        <f>G904</f>
        <v>2005227.59</v>
      </c>
      <c r="H902" s="91">
        <f>H904</f>
        <v>2005227.59</v>
      </c>
      <c r="I902" s="91">
        <f>I904</f>
        <v>0</v>
      </c>
      <c r="J902" s="237"/>
      <c r="L902" s="149"/>
    </row>
    <row r="903" spans="1:10" s="5" customFormat="1" ht="25.5">
      <c r="A903" s="107" t="s">
        <v>230</v>
      </c>
      <c r="B903" s="36"/>
      <c r="C903" s="36"/>
      <c r="D903" s="36"/>
      <c r="E903" s="44"/>
      <c r="F903" s="44"/>
      <c r="G903" s="87"/>
      <c r="H903" s="87"/>
      <c r="I903" s="140"/>
      <c r="J903" s="237"/>
    </row>
    <row r="904" spans="1:10" s="5" customFormat="1" ht="25.5">
      <c r="A904" s="45" t="s">
        <v>346</v>
      </c>
      <c r="B904" s="36" t="s">
        <v>204</v>
      </c>
      <c r="C904" s="36" t="s">
        <v>347</v>
      </c>
      <c r="D904" s="36"/>
      <c r="E904" s="44"/>
      <c r="F904" s="44"/>
      <c r="G904" s="93">
        <f>G905</f>
        <v>2005227.59</v>
      </c>
      <c r="H904" s="93">
        <f>H905</f>
        <v>2005227.59</v>
      </c>
      <c r="I904" s="93">
        <f>I905</f>
        <v>0</v>
      </c>
      <c r="J904" s="237"/>
    </row>
    <row r="905" spans="1:10" s="14" customFormat="1" ht="89.25">
      <c r="A905" s="39" t="s">
        <v>348</v>
      </c>
      <c r="B905" s="28" t="s">
        <v>204</v>
      </c>
      <c r="C905" s="36" t="s">
        <v>349</v>
      </c>
      <c r="D905" s="25"/>
      <c r="E905" s="25"/>
      <c r="F905" s="25"/>
      <c r="G905" s="93">
        <f aca="true" t="shared" si="39" ref="G905:I906">G906</f>
        <v>2005227.59</v>
      </c>
      <c r="H905" s="71">
        <f t="shared" si="39"/>
        <v>2005227.59</v>
      </c>
      <c r="I905" s="71">
        <f t="shared" si="39"/>
        <v>0</v>
      </c>
      <c r="J905" s="237"/>
    </row>
    <row r="906" spans="1:10" s="14" customFormat="1" ht="12.75">
      <c r="A906" s="39" t="s">
        <v>350</v>
      </c>
      <c r="B906" s="25" t="s">
        <v>204</v>
      </c>
      <c r="C906" s="44" t="s">
        <v>349</v>
      </c>
      <c r="D906" s="25" t="s">
        <v>210</v>
      </c>
      <c r="E906" s="25"/>
      <c r="F906" s="25"/>
      <c r="G906" s="87">
        <f t="shared" si="39"/>
        <v>2005227.59</v>
      </c>
      <c r="H906" s="87">
        <f t="shared" si="39"/>
        <v>2005227.59</v>
      </c>
      <c r="I906" s="87">
        <f t="shared" si="39"/>
        <v>0</v>
      </c>
      <c r="J906" s="237"/>
    </row>
    <row r="907" spans="1:10" s="14" customFormat="1" ht="51">
      <c r="A907" s="39" t="s">
        <v>351</v>
      </c>
      <c r="B907" s="25" t="s">
        <v>204</v>
      </c>
      <c r="C907" s="44" t="s">
        <v>349</v>
      </c>
      <c r="D907" s="25" t="s">
        <v>210</v>
      </c>
      <c r="E907" s="25" t="s">
        <v>161</v>
      </c>
      <c r="F907" s="25"/>
      <c r="G907" s="87">
        <v>2005227.59</v>
      </c>
      <c r="H907" s="83">
        <v>2005227.59</v>
      </c>
      <c r="I907" s="137">
        <f>G907-H907</f>
        <v>0</v>
      </c>
      <c r="J907" s="237"/>
    </row>
    <row r="908" spans="1:10" s="5" customFormat="1" ht="31.5" customHeight="1">
      <c r="A908" s="77" t="s">
        <v>163</v>
      </c>
      <c r="B908" s="78"/>
      <c r="C908" s="78"/>
      <c r="D908" s="78"/>
      <c r="E908" s="78"/>
      <c r="F908" s="78"/>
      <c r="G908" s="86">
        <f>G902+G898+G868+G823+G680+G534+G494+G425+G373+G328+G194+G192+G179+G46+G25+G13++G645+G512</f>
        <v>445442732.17</v>
      </c>
      <c r="H908" s="86">
        <f>H902+H898+H868+H823+H680+H534+H494+H425+H373+H328+H194+H192+H179+H46+H25+H13++H645+H512</f>
        <v>318527473.96999997</v>
      </c>
      <c r="I908" s="86">
        <f>G908-H908</f>
        <v>126915258.20000005</v>
      </c>
      <c r="J908" s="386"/>
    </row>
    <row r="909" spans="1:10" s="9" customFormat="1" ht="15.75">
      <c r="A909" s="66"/>
      <c r="B909" s="67"/>
      <c r="C909" s="67"/>
      <c r="D909" s="67"/>
      <c r="E909" s="67"/>
      <c r="F909" s="67"/>
      <c r="G909" s="85"/>
      <c r="H909" s="85"/>
      <c r="I909" s="226"/>
      <c r="J909" s="373"/>
    </row>
    <row r="910" spans="1:10" s="9" customFormat="1" ht="15.75">
      <c r="A910" s="15"/>
      <c r="B910" s="16"/>
      <c r="C910" s="16"/>
      <c r="D910" s="90"/>
      <c r="E910" s="90"/>
      <c r="F910" s="90"/>
      <c r="G910" s="134">
        <f>G912-G908</f>
        <v>0</v>
      </c>
      <c r="H910" s="134"/>
      <c r="I910" s="142"/>
      <c r="J910" s="373"/>
    </row>
    <row r="911" spans="1:10" s="9" customFormat="1" ht="15.75">
      <c r="A911" s="15"/>
      <c r="B911" s="16"/>
      <c r="C911" s="16"/>
      <c r="D911" s="16"/>
      <c r="E911" s="16"/>
      <c r="F911" s="16"/>
      <c r="G911" s="214"/>
      <c r="H911" s="270"/>
      <c r="I911" s="142"/>
      <c r="J911" s="373"/>
    </row>
    <row r="912" spans="1:10" s="9" customFormat="1" ht="15.75">
      <c r="A912" s="15"/>
      <c r="B912" s="16"/>
      <c r="C912" s="16"/>
      <c r="D912" s="90"/>
      <c r="E912" s="267"/>
      <c r="F912" s="90"/>
      <c r="G912" s="271">
        <f>457226401.43-11932477.05+278800-157128.88+27136.67</f>
        <v>445442732.17</v>
      </c>
      <c r="H912" s="134"/>
      <c r="I912" s="258"/>
      <c r="J912" s="373"/>
    </row>
    <row r="913" spans="1:10" s="9" customFormat="1" ht="15.75">
      <c r="A913" s="15"/>
      <c r="B913" s="16"/>
      <c r="C913" s="16"/>
      <c r="D913" s="16"/>
      <c r="E913" s="16"/>
      <c r="F913" s="16"/>
      <c r="G913" s="134"/>
      <c r="H913" s="134"/>
      <c r="I913" s="142"/>
      <c r="J913" s="373"/>
    </row>
    <row r="914" spans="1:10" s="9" customFormat="1" ht="15.75">
      <c r="A914" s="15"/>
      <c r="B914" s="16"/>
      <c r="C914" s="16"/>
      <c r="D914" s="16"/>
      <c r="E914" s="479"/>
      <c r="F914" s="479"/>
      <c r="G914" s="134">
        <f>G912-G908</f>
        <v>0</v>
      </c>
      <c r="H914" s="134"/>
      <c r="I914" s="142"/>
      <c r="J914" s="373"/>
    </row>
    <row r="915" spans="1:10" s="9" customFormat="1" ht="15.75">
      <c r="A915" s="15"/>
      <c r="B915" s="16"/>
      <c r="C915" s="16"/>
      <c r="D915" s="16"/>
      <c r="E915" s="16"/>
      <c r="F915" s="16"/>
      <c r="G915" s="134"/>
      <c r="H915" s="134"/>
      <c r="I915" s="142"/>
      <c r="J915" s="373"/>
    </row>
    <row r="916" spans="1:10" s="9" customFormat="1" ht="15.75">
      <c r="A916" s="17"/>
      <c r="B916" s="16"/>
      <c r="C916" s="16"/>
      <c r="D916" s="16"/>
      <c r="E916" s="16"/>
      <c r="F916" s="16"/>
      <c r="G916" s="134"/>
      <c r="H916" s="134"/>
      <c r="I916" s="142"/>
      <c r="J916" s="373"/>
    </row>
    <row r="917" spans="1:10" s="9" customFormat="1" ht="15.75">
      <c r="A917" s="15"/>
      <c r="B917" s="16"/>
      <c r="C917" s="16"/>
      <c r="D917" s="16"/>
      <c r="E917" s="16"/>
      <c r="F917" s="16"/>
      <c r="G917" s="134"/>
      <c r="H917" s="134"/>
      <c r="I917" s="142"/>
      <c r="J917" s="373"/>
    </row>
    <row r="918" spans="1:10" s="9" customFormat="1" ht="15.75">
      <c r="A918" s="18"/>
      <c r="B918" s="16"/>
      <c r="C918" s="16"/>
      <c r="D918" s="16"/>
      <c r="E918" s="16"/>
      <c r="F918" s="16"/>
      <c r="G918" s="134"/>
      <c r="H918" s="134"/>
      <c r="I918" s="142"/>
      <c r="J918" s="373"/>
    </row>
    <row r="919" spans="1:10" s="9" customFormat="1" ht="12.75">
      <c r="A919" s="18"/>
      <c r="B919" s="19"/>
      <c r="C919" s="19"/>
      <c r="D919" s="19"/>
      <c r="E919" s="19"/>
      <c r="F919" s="19"/>
      <c r="G919" s="120"/>
      <c r="H919" s="120"/>
      <c r="I919" s="142"/>
      <c r="J919" s="373"/>
    </row>
    <row r="920" spans="7:8" ht="12.75">
      <c r="G920" s="120"/>
      <c r="H920" s="120"/>
    </row>
    <row r="921" spans="7:8" ht="12.75">
      <c r="G921" s="120"/>
      <c r="H921" s="120"/>
    </row>
    <row r="922" spans="7:8" ht="12.75">
      <c r="G922" s="120"/>
      <c r="H922" s="120"/>
    </row>
    <row r="923" spans="7:8" ht="12.75">
      <c r="G923" s="120"/>
      <c r="H923" s="120"/>
    </row>
    <row r="924" spans="7:8" ht="12.75">
      <c r="G924" s="120"/>
      <c r="H924" s="120"/>
    </row>
    <row r="925" spans="7:8" ht="12.75">
      <c r="G925" s="120"/>
      <c r="H925" s="120"/>
    </row>
    <row r="926" spans="7:8" ht="12.75">
      <c r="G926" s="120"/>
      <c r="H926" s="120"/>
    </row>
    <row r="927" spans="7:8" ht="12.75">
      <c r="G927" s="120"/>
      <c r="H927" s="120"/>
    </row>
    <row r="928" spans="7:8" ht="12.75">
      <c r="G928" s="120"/>
      <c r="H928" s="120"/>
    </row>
    <row r="929" spans="7:8" ht="12.75">
      <c r="G929" s="120"/>
      <c r="H929" s="120"/>
    </row>
    <row r="930" spans="1:9" ht="12.75">
      <c r="A930"/>
      <c r="B930"/>
      <c r="C930"/>
      <c r="D930"/>
      <c r="E930"/>
      <c r="F930"/>
      <c r="G930" s="120"/>
      <c r="H930" s="120"/>
      <c r="I930"/>
    </row>
    <row r="931" spans="1:9" ht="12.75">
      <c r="A931"/>
      <c r="B931"/>
      <c r="C931"/>
      <c r="D931"/>
      <c r="E931"/>
      <c r="F931"/>
      <c r="G931" s="120"/>
      <c r="H931" s="120"/>
      <c r="I931"/>
    </row>
    <row r="932" spans="1:9" ht="12.75">
      <c r="A932"/>
      <c r="B932"/>
      <c r="C932"/>
      <c r="D932"/>
      <c r="E932"/>
      <c r="F932"/>
      <c r="G932" s="120"/>
      <c r="H932" s="120"/>
      <c r="I932"/>
    </row>
    <row r="933" spans="1:9" ht="12.75">
      <c r="A933"/>
      <c r="B933"/>
      <c r="C933"/>
      <c r="D933"/>
      <c r="E933"/>
      <c r="F933"/>
      <c r="G933" s="120"/>
      <c r="H933" s="120"/>
      <c r="I933"/>
    </row>
    <row r="934" spans="1:9" ht="12.75">
      <c r="A934"/>
      <c r="B934"/>
      <c r="C934"/>
      <c r="D934"/>
      <c r="E934"/>
      <c r="F934"/>
      <c r="G934" s="120"/>
      <c r="H934" s="120"/>
      <c r="I934"/>
    </row>
    <row r="935" spans="1:9" ht="12.75">
      <c r="A935"/>
      <c r="B935"/>
      <c r="C935"/>
      <c r="D935"/>
      <c r="E935"/>
      <c r="F935"/>
      <c r="G935" s="120"/>
      <c r="H935" s="120"/>
      <c r="I935"/>
    </row>
    <row r="936" spans="1:9" ht="12.75">
      <c r="A936"/>
      <c r="B936"/>
      <c r="C936"/>
      <c r="D936"/>
      <c r="E936"/>
      <c r="F936"/>
      <c r="G936" s="120"/>
      <c r="H936" s="120"/>
      <c r="I936"/>
    </row>
    <row r="937" spans="1:9" ht="12.75">
      <c r="A937"/>
      <c r="B937"/>
      <c r="C937"/>
      <c r="D937"/>
      <c r="E937"/>
      <c r="F937"/>
      <c r="G937" s="120"/>
      <c r="H937" s="120"/>
      <c r="I937"/>
    </row>
    <row r="938" spans="1:9" ht="12.75">
      <c r="A938"/>
      <c r="B938"/>
      <c r="C938"/>
      <c r="D938"/>
      <c r="E938"/>
      <c r="F938"/>
      <c r="G938" s="120"/>
      <c r="H938" s="120"/>
      <c r="I938"/>
    </row>
    <row r="939" spans="1:9" ht="12.75">
      <c r="A939"/>
      <c r="B939"/>
      <c r="C939"/>
      <c r="D939"/>
      <c r="E939"/>
      <c r="F939"/>
      <c r="G939" s="120"/>
      <c r="H939" s="120"/>
      <c r="I939"/>
    </row>
    <row r="940" spans="1:9" ht="12.75">
      <c r="A940"/>
      <c r="B940"/>
      <c r="C940"/>
      <c r="D940"/>
      <c r="E940"/>
      <c r="F940"/>
      <c r="G940" s="120"/>
      <c r="H940" s="120"/>
      <c r="I940"/>
    </row>
    <row r="941" spans="1:9" ht="12.75">
      <c r="A941"/>
      <c r="B941"/>
      <c r="C941"/>
      <c r="D941"/>
      <c r="E941"/>
      <c r="F941"/>
      <c r="G941" s="120"/>
      <c r="H941" s="120"/>
      <c r="I941"/>
    </row>
    <row r="942" spans="1:9" ht="12.75">
      <c r="A942"/>
      <c r="B942"/>
      <c r="C942"/>
      <c r="D942"/>
      <c r="E942"/>
      <c r="F942"/>
      <c r="G942" s="120"/>
      <c r="H942" s="120"/>
      <c r="I942"/>
    </row>
    <row r="943" spans="1:9" ht="12.75">
      <c r="A943"/>
      <c r="B943"/>
      <c r="C943"/>
      <c r="D943"/>
      <c r="E943"/>
      <c r="F943"/>
      <c r="G943" s="120"/>
      <c r="H943" s="120"/>
      <c r="I943"/>
    </row>
    <row r="944" spans="1:9" ht="12.75">
      <c r="A944"/>
      <c r="B944"/>
      <c r="C944"/>
      <c r="D944"/>
      <c r="E944"/>
      <c r="F944"/>
      <c r="G944" s="120"/>
      <c r="H944" s="120"/>
      <c r="I944"/>
    </row>
    <row r="945" spans="1:9" ht="12.75">
      <c r="A945"/>
      <c r="B945"/>
      <c r="C945"/>
      <c r="D945"/>
      <c r="E945"/>
      <c r="F945"/>
      <c r="G945" s="120"/>
      <c r="H945" s="120"/>
      <c r="I945"/>
    </row>
    <row r="946" spans="1:9" ht="12.75">
      <c r="A946"/>
      <c r="B946"/>
      <c r="C946"/>
      <c r="D946"/>
      <c r="E946"/>
      <c r="F946"/>
      <c r="G946" s="120"/>
      <c r="H946" s="120"/>
      <c r="I946"/>
    </row>
    <row r="947" spans="1:9" ht="12.75">
      <c r="A947"/>
      <c r="B947"/>
      <c r="C947"/>
      <c r="D947"/>
      <c r="E947"/>
      <c r="F947"/>
      <c r="G947" s="120"/>
      <c r="H947" s="120"/>
      <c r="I947"/>
    </row>
    <row r="948" spans="1:9" ht="12.75">
      <c r="A948"/>
      <c r="B948"/>
      <c r="C948"/>
      <c r="D948"/>
      <c r="E948"/>
      <c r="F948"/>
      <c r="G948" s="120"/>
      <c r="H948" s="120"/>
      <c r="I948"/>
    </row>
    <row r="949" spans="1:9" ht="12.75">
      <c r="A949"/>
      <c r="B949"/>
      <c r="C949"/>
      <c r="D949"/>
      <c r="E949"/>
      <c r="F949"/>
      <c r="G949" s="120"/>
      <c r="H949" s="120"/>
      <c r="I949"/>
    </row>
    <row r="950" spans="1:9" ht="12.75">
      <c r="A950"/>
      <c r="B950"/>
      <c r="C950"/>
      <c r="D950"/>
      <c r="E950"/>
      <c r="F950"/>
      <c r="G950" s="120"/>
      <c r="H950" s="120"/>
      <c r="I950"/>
    </row>
    <row r="951" spans="1:9" ht="12.75">
      <c r="A951"/>
      <c r="B951"/>
      <c r="C951"/>
      <c r="D951"/>
      <c r="E951"/>
      <c r="F951"/>
      <c r="G951" s="120"/>
      <c r="H951" s="120"/>
      <c r="I951"/>
    </row>
    <row r="952" spans="1:9" ht="12.75">
      <c r="A952"/>
      <c r="B952"/>
      <c r="C952"/>
      <c r="D952"/>
      <c r="E952"/>
      <c r="F952"/>
      <c r="G952" s="120"/>
      <c r="H952" s="120"/>
      <c r="I952"/>
    </row>
    <row r="953" spans="1:9" ht="12.75">
      <c r="A953"/>
      <c r="B953"/>
      <c r="C953"/>
      <c r="D953"/>
      <c r="E953"/>
      <c r="F953"/>
      <c r="G953" s="120"/>
      <c r="H953" s="120"/>
      <c r="I953"/>
    </row>
    <row r="954" spans="1:9" ht="12.75">
      <c r="A954"/>
      <c r="B954"/>
      <c r="C954"/>
      <c r="D954"/>
      <c r="E954"/>
      <c r="F954"/>
      <c r="G954" s="120"/>
      <c r="H954" s="120"/>
      <c r="I954"/>
    </row>
    <row r="955" spans="1:9" ht="12.75">
      <c r="A955"/>
      <c r="B955"/>
      <c r="C955"/>
      <c r="D955"/>
      <c r="E955"/>
      <c r="F955"/>
      <c r="G955" s="120"/>
      <c r="H955" s="120"/>
      <c r="I955"/>
    </row>
    <row r="956" spans="1:9" ht="12.75">
      <c r="A956"/>
      <c r="B956"/>
      <c r="C956"/>
      <c r="D956"/>
      <c r="E956"/>
      <c r="F956"/>
      <c r="G956" s="120"/>
      <c r="H956" s="120"/>
      <c r="I956"/>
    </row>
    <row r="957" spans="1:9" ht="12.75">
      <c r="A957"/>
      <c r="B957"/>
      <c r="C957"/>
      <c r="D957"/>
      <c r="E957"/>
      <c r="F957"/>
      <c r="G957" s="120"/>
      <c r="H957" s="120"/>
      <c r="I957"/>
    </row>
    <row r="958" spans="1:9" ht="12.75">
      <c r="A958"/>
      <c r="B958"/>
      <c r="C958"/>
      <c r="D958"/>
      <c r="E958"/>
      <c r="F958"/>
      <c r="G958" s="120"/>
      <c r="H958" s="120"/>
      <c r="I958"/>
    </row>
    <row r="959" spans="1:9" ht="12.75">
      <c r="A959"/>
      <c r="B959"/>
      <c r="C959"/>
      <c r="D959"/>
      <c r="E959"/>
      <c r="F959"/>
      <c r="G959" s="120"/>
      <c r="H959" s="120"/>
      <c r="I959"/>
    </row>
    <row r="960" spans="1:9" ht="12.75">
      <c r="A960"/>
      <c r="B960"/>
      <c r="C960"/>
      <c r="D960"/>
      <c r="E960"/>
      <c r="F960"/>
      <c r="G960" s="120"/>
      <c r="H960" s="120"/>
      <c r="I960"/>
    </row>
    <row r="961" spans="1:9" ht="12.75">
      <c r="A961"/>
      <c r="B961"/>
      <c r="C961"/>
      <c r="D961"/>
      <c r="E961"/>
      <c r="F961"/>
      <c r="G961" s="120"/>
      <c r="H961" s="120"/>
      <c r="I961"/>
    </row>
    <row r="962" spans="1:9" ht="12.75">
      <c r="A962"/>
      <c r="B962"/>
      <c r="C962"/>
      <c r="D962"/>
      <c r="E962"/>
      <c r="F962"/>
      <c r="G962" s="120"/>
      <c r="H962" s="120"/>
      <c r="I962"/>
    </row>
    <row r="963" spans="1:9" ht="12.75">
      <c r="A963"/>
      <c r="B963"/>
      <c r="C963"/>
      <c r="D963"/>
      <c r="E963"/>
      <c r="F963"/>
      <c r="G963" s="120"/>
      <c r="H963" s="120"/>
      <c r="I963"/>
    </row>
    <row r="964" spans="1:9" ht="12.75">
      <c r="A964"/>
      <c r="B964"/>
      <c r="C964"/>
      <c r="D964"/>
      <c r="E964"/>
      <c r="F964"/>
      <c r="G964" s="120"/>
      <c r="H964" s="120"/>
      <c r="I964"/>
    </row>
    <row r="965" spans="1:9" ht="12.75">
      <c r="A965"/>
      <c r="B965"/>
      <c r="C965"/>
      <c r="D965"/>
      <c r="E965"/>
      <c r="F965"/>
      <c r="G965" s="120"/>
      <c r="H965" s="120"/>
      <c r="I965"/>
    </row>
    <row r="966" spans="1:9" ht="12.75">
      <c r="A966"/>
      <c r="B966"/>
      <c r="C966"/>
      <c r="D966"/>
      <c r="E966"/>
      <c r="F966"/>
      <c r="G966" s="120"/>
      <c r="H966" s="120"/>
      <c r="I966"/>
    </row>
    <row r="967" spans="1:9" ht="12.75">
      <c r="A967"/>
      <c r="B967"/>
      <c r="C967"/>
      <c r="D967"/>
      <c r="E967"/>
      <c r="F967"/>
      <c r="G967" s="120"/>
      <c r="H967" s="120"/>
      <c r="I967"/>
    </row>
    <row r="968" spans="1:9" ht="12.75">
      <c r="A968"/>
      <c r="B968"/>
      <c r="C968"/>
      <c r="D968"/>
      <c r="E968"/>
      <c r="F968"/>
      <c r="G968" s="120"/>
      <c r="H968" s="120"/>
      <c r="I968"/>
    </row>
    <row r="969" spans="1:9" ht="12.75">
      <c r="A969"/>
      <c r="B969"/>
      <c r="C969"/>
      <c r="D969"/>
      <c r="E969"/>
      <c r="F969"/>
      <c r="G969" s="120"/>
      <c r="H969" s="120"/>
      <c r="I969"/>
    </row>
    <row r="970" spans="1:9" ht="12.75">
      <c r="A970"/>
      <c r="B970"/>
      <c r="C970"/>
      <c r="D970"/>
      <c r="E970"/>
      <c r="F970"/>
      <c r="G970" s="120"/>
      <c r="H970" s="120"/>
      <c r="I970"/>
    </row>
    <row r="971" spans="1:9" ht="12.75">
      <c r="A971"/>
      <c r="B971"/>
      <c r="C971"/>
      <c r="D971"/>
      <c r="E971"/>
      <c r="F971"/>
      <c r="G971" s="120"/>
      <c r="H971" s="120"/>
      <c r="I971"/>
    </row>
    <row r="972" spans="1:9" ht="12.75">
      <c r="A972"/>
      <c r="B972"/>
      <c r="C972"/>
      <c r="D972"/>
      <c r="E972"/>
      <c r="F972"/>
      <c r="G972" s="120"/>
      <c r="H972" s="120"/>
      <c r="I972"/>
    </row>
    <row r="973" spans="1:9" ht="12.75">
      <c r="A973"/>
      <c r="B973"/>
      <c r="C973"/>
      <c r="D973"/>
      <c r="E973"/>
      <c r="F973"/>
      <c r="G973" s="120"/>
      <c r="H973" s="120"/>
      <c r="I973"/>
    </row>
    <row r="974" spans="1:9" ht="12.75">
      <c r="A974"/>
      <c r="B974"/>
      <c r="C974"/>
      <c r="D974"/>
      <c r="E974"/>
      <c r="F974"/>
      <c r="G974" s="120"/>
      <c r="H974" s="120"/>
      <c r="I974"/>
    </row>
    <row r="975" spans="1:9" ht="12.75">
      <c r="A975"/>
      <c r="B975"/>
      <c r="C975"/>
      <c r="D975"/>
      <c r="E975"/>
      <c r="F975"/>
      <c r="G975" s="120"/>
      <c r="H975" s="120"/>
      <c r="I975"/>
    </row>
    <row r="976" spans="1:9" ht="12.75">
      <c r="A976"/>
      <c r="B976"/>
      <c r="C976"/>
      <c r="D976"/>
      <c r="E976"/>
      <c r="F976"/>
      <c r="G976" s="120"/>
      <c r="H976" s="120"/>
      <c r="I976"/>
    </row>
    <row r="977" spans="1:9" ht="12.75">
      <c r="A977"/>
      <c r="B977"/>
      <c r="C977"/>
      <c r="D977"/>
      <c r="E977"/>
      <c r="F977"/>
      <c r="G977" s="120"/>
      <c r="H977" s="120"/>
      <c r="I977"/>
    </row>
    <row r="978" spans="1:9" ht="12.75">
      <c r="A978"/>
      <c r="B978"/>
      <c r="C978"/>
      <c r="D978"/>
      <c r="E978"/>
      <c r="F978"/>
      <c r="G978" s="120"/>
      <c r="H978" s="120"/>
      <c r="I978"/>
    </row>
    <row r="979" spans="1:9" ht="12.75">
      <c r="A979"/>
      <c r="B979"/>
      <c r="C979"/>
      <c r="D979"/>
      <c r="E979"/>
      <c r="F979"/>
      <c r="G979" s="120"/>
      <c r="H979" s="120"/>
      <c r="I979"/>
    </row>
    <row r="980" spans="1:9" ht="12.75">
      <c r="A980"/>
      <c r="B980"/>
      <c r="C980"/>
      <c r="D980"/>
      <c r="E980"/>
      <c r="F980"/>
      <c r="G980" s="120"/>
      <c r="H980" s="120"/>
      <c r="I980"/>
    </row>
    <row r="981" spans="1:9" ht="12.75">
      <c r="A981"/>
      <c r="B981"/>
      <c r="C981"/>
      <c r="D981"/>
      <c r="E981"/>
      <c r="F981"/>
      <c r="G981" s="120"/>
      <c r="H981" s="120"/>
      <c r="I981"/>
    </row>
    <row r="982" spans="1:9" ht="12.75">
      <c r="A982"/>
      <c r="B982"/>
      <c r="C982"/>
      <c r="D982"/>
      <c r="E982"/>
      <c r="F982"/>
      <c r="G982" s="120"/>
      <c r="H982" s="120"/>
      <c r="I982"/>
    </row>
    <row r="983" spans="1:9" ht="12.75">
      <c r="A983"/>
      <c r="B983"/>
      <c r="C983"/>
      <c r="D983"/>
      <c r="E983"/>
      <c r="F983"/>
      <c r="G983" s="120"/>
      <c r="H983" s="120"/>
      <c r="I983"/>
    </row>
    <row r="984" spans="1:9" ht="12.75">
      <c r="A984"/>
      <c r="B984"/>
      <c r="C984"/>
      <c r="D984"/>
      <c r="E984"/>
      <c r="F984"/>
      <c r="G984" s="120"/>
      <c r="H984" s="120"/>
      <c r="I984"/>
    </row>
    <row r="985" spans="1:9" ht="12.75">
      <c r="A985"/>
      <c r="B985"/>
      <c r="C985"/>
      <c r="D985"/>
      <c r="E985"/>
      <c r="F985"/>
      <c r="G985" s="120"/>
      <c r="H985" s="120"/>
      <c r="I985"/>
    </row>
    <row r="986" spans="1:9" ht="12.75">
      <c r="A986"/>
      <c r="B986"/>
      <c r="C986"/>
      <c r="D986"/>
      <c r="E986"/>
      <c r="F986"/>
      <c r="G986" s="120"/>
      <c r="H986" s="120"/>
      <c r="I986"/>
    </row>
    <row r="987" spans="1:9" ht="12.75">
      <c r="A987"/>
      <c r="B987"/>
      <c r="C987"/>
      <c r="D987"/>
      <c r="E987"/>
      <c r="F987"/>
      <c r="G987" s="120"/>
      <c r="H987" s="120"/>
      <c r="I987"/>
    </row>
    <row r="988" spans="1:9" ht="12.75">
      <c r="A988"/>
      <c r="B988"/>
      <c r="C988"/>
      <c r="D988"/>
      <c r="E988"/>
      <c r="F988"/>
      <c r="G988" s="120"/>
      <c r="H988" s="120"/>
      <c r="I988"/>
    </row>
    <row r="989" spans="1:9" ht="12.75">
      <c r="A989"/>
      <c r="B989"/>
      <c r="C989"/>
      <c r="D989"/>
      <c r="E989"/>
      <c r="F989"/>
      <c r="G989" s="120"/>
      <c r="H989" s="120"/>
      <c r="I989"/>
    </row>
    <row r="990" spans="1:9" ht="12.75">
      <c r="A990"/>
      <c r="B990"/>
      <c r="C990"/>
      <c r="D990"/>
      <c r="E990"/>
      <c r="F990"/>
      <c r="G990" s="120"/>
      <c r="H990" s="120"/>
      <c r="I990"/>
    </row>
    <row r="991" spans="1:9" ht="12.75">
      <c r="A991"/>
      <c r="B991"/>
      <c r="C991"/>
      <c r="D991"/>
      <c r="E991"/>
      <c r="F991"/>
      <c r="G991" s="120"/>
      <c r="H991" s="120"/>
      <c r="I991"/>
    </row>
    <row r="992" spans="1:9" ht="12.75">
      <c r="A992"/>
      <c r="B992"/>
      <c r="C992"/>
      <c r="D992"/>
      <c r="E992"/>
      <c r="F992"/>
      <c r="G992" s="120"/>
      <c r="H992" s="120"/>
      <c r="I992"/>
    </row>
    <row r="993" spans="1:9" ht="12.75">
      <c r="A993"/>
      <c r="B993"/>
      <c r="C993"/>
      <c r="D993"/>
      <c r="E993"/>
      <c r="F993"/>
      <c r="G993" s="120"/>
      <c r="H993" s="120"/>
      <c r="I993"/>
    </row>
    <row r="994" spans="1:9" ht="12.75">
      <c r="A994"/>
      <c r="B994"/>
      <c r="C994"/>
      <c r="D994"/>
      <c r="E994"/>
      <c r="F994"/>
      <c r="G994" s="120"/>
      <c r="H994" s="120"/>
      <c r="I994"/>
    </row>
    <row r="995" spans="1:9" ht="12.75">
      <c r="A995"/>
      <c r="B995"/>
      <c r="C995"/>
      <c r="D995"/>
      <c r="E995"/>
      <c r="F995"/>
      <c r="G995" s="120"/>
      <c r="H995" s="120"/>
      <c r="I995"/>
    </row>
    <row r="996" spans="1:9" ht="12.75">
      <c r="A996"/>
      <c r="B996"/>
      <c r="C996"/>
      <c r="D996"/>
      <c r="E996"/>
      <c r="F996"/>
      <c r="G996" s="120"/>
      <c r="H996" s="120"/>
      <c r="I996"/>
    </row>
    <row r="997" spans="1:9" ht="12.75">
      <c r="A997"/>
      <c r="B997"/>
      <c r="C997"/>
      <c r="D997"/>
      <c r="E997"/>
      <c r="F997"/>
      <c r="G997" s="120"/>
      <c r="H997" s="120"/>
      <c r="I997"/>
    </row>
    <row r="998" spans="1:9" ht="12.75">
      <c r="A998"/>
      <c r="B998"/>
      <c r="C998"/>
      <c r="D998"/>
      <c r="E998"/>
      <c r="F998"/>
      <c r="G998" s="120"/>
      <c r="H998" s="120"/>
      <c r="I998"/>
    </row>
    <row r="999" spans="1:9" ht="12.75">
      <c r="A999"/>
      <c r="B999"/>
      <c r="C999"/>
      <c r="D999"/>
      <c r="E999"/>
      <c r="F999"/>
      <c r="G999" s="120"/>
      <c r="H999" s="120"/>
      <c r="I999"/>
    </row>
    <row r="1000" spans="1:9" ht="12.75">
      <c r="A1000"/>
      <c r="B1000"/>
      <c r="C1000"/>
      <c r="D1000"/>
      <c r="E1000"/>
      <c r="F1000"/>
      <c r="G1000" s="120"/>
      <c r="H1000" s="120"/>
      <c r="I1000"/>
    </row>
    <row r="1001" spans="1:9" ht="12.75">
      <c r="A1001"/>
      <c r="B1001"/>
      <c r="C1001"/>
      <c r="D1001"/>
      <c r="E1001"/>
      <c r="F1001"/>
      <c r="G1001" s="120"/>
      <c r="H1001" s="120"/>
      <c r="I1001"/>
    </row>
    <row r="1002" spans="1:9" ht="12.75">
      <c r="A1002"/>
      <c r="B1002"/>
      <c r="C1002"/>
      <c r="D1002"/>
      <c r="E1002"/>
      <c r="F1002"/>
      <c r="G1002" s="120"/>
      <c r="H1002" s="120"/>
      <c r="I1002"/>
    </row>
    <row r="1003" spans="1:9" ht="12.75">
      <c r="A1003"/>
      <c r="B1003"/>
      <c r="C1003"/>
      <c r="D1003"/>
      <c r="E1003"/>
      <c r="F1003"/>
      <c r="G1003" s="120"/>
      <c r="H1003" s="120"/>
      <c r="I1003"/>
    </row>
    <row r="1004" spans="1:9" ht="12.75">
      <c r="A1004"/>
      <c r="B1004"/>
      <c r="C1004"/>
      <c r="D1004"/>
      <c r="E1004"/>
      <c r="F1004"/>
      <c r="G1004" s="120"/>
      <c r="H1004" s="120"/>
      <c r="I1004"/>
    </row>
    <row r="1005" spans="1:9" ht="12.75">
      <c r="A1005"/>
      <c r="B1005"/>
      <c r="C1005"/>
      <c r="D1005"/>
      <c r="E1005"/>
      <c r="F1005"/>
      <c r="G1005" s="120"/>
      <c r="H1005" s="120"/>
      <c r="I1005"/>
    </row>
    <row r="1006" spans="1:9" ht="12.75">
      <c r="A1006"/>
      <c r="B1006"/>
      <c r="C1006"/>
      <c r="D1006"/>
      <c r="E1006"/>
      <c r="F1006"/>
      <c r="G1006" s="120"/>
      <c r="H1006" s="120"/>
      <c r="I1006"/>
    </row>
    <row r="1007" spans="1:9" ht="12.75">
      <c r="A1007"/>
      <c r="B1007"/>
      <c r="C1007"/>
      <c r="D1007"/>
      <c r="E1007"/>
      <c r="F1007"/>
      <c r="G1007" s="120"/>
      <c r="H1007" s="120"/>
      <c r="I1007"/>
    </row>
    <row r="1008" spans="1:9" ht="12.75">
      <c r="A1008"/>
      <c r="B1008"/>
      <c r="C1008"/>
      <c r="D1008"/>
      <c r="E1008"/>
      <c r="F1008"/>
      <c r="G1008" s="120"/>
      <c r="H1008" s="120"/>
      <c r="I1008"/>
    </row>
    <row r="1009" spans="1:9" ht="12.75">
      <c r="A1009"/>
      <c r="B1009"/>
      <c r="C1009"/>
      <c r="D1009"/>
      <c r="E1009"/>
      <c r="F1009"/>
      <c r="G1009" s="120"/>
      <c r="H1009" s="120"/>
      <c r="I1009"/>
    </row>
    <row r="1010" spans="1:9" ht="12.75">
      <c r="A1010"/>
      <c r="B1010"/>
      <c r="C1010"/>
      <c r="D1010"/>
      <c r="E1010"/>
      <c r="F1010"/>
      <c r="G1010" s="120"/>
      <c r="H1010" s="120"/>
      <c r="I1010"/>
    </row>
    <row r="1011" spans="1:9" ht="12.75">
      <c r="A1011"/>
      <c r="B1011"/>
      <c r="C1011"/>
      <c r="D1011"/>
      <c r="E1011"/>
      <c r="F1011"/>
      <c r="G1011" s="120"/>
      <c r="H1011" s="120"/>
      <c r="I1011"/>
    </row>
    <row r="1012" spans="1:9" ht="12.75">
      <c r="A1012"/>
      <c r="B1012"/>
      <c r="C1012"/>
      <c r="D1012"/>
      <c r="E1012"/>
      <c r="F1012"/>
      <c r="G1012" s="120"/>
      <c r="H1012" s="120"/>
      <c r="I1012"/>
    </row>
    <row r="1013" spans="1:9" ht="12.75">
      <c r="A1013"/>
      <c r="B1013"/>
      <c r="C1013"/>
      <c r="D1013"/>
      <c r="E1013"/>
      <c r="F1013"/>
      <c r="G1013" s="120"/>
      <c r="H1013" s="120"/>
      <c r="I1013"/>
    </row>
    <row r="1014" spans="1:9" ht="12.75">
      <c r="A1014"/>
      <c r="B1014"/>
      <c r="C1014"/>
      <c r="D1014"/>
      <c r="E1014"/>
      <c r="F1014"/>
      <c r="G1014" s="120"/>
      <c r="H1014" s="120"/>
      <c r="I1014"/>
    </row>
    <row r="1015" spans="1:9" ht="12.75">
      <c r="A1015"/>
      <c r="B1015"/>
      <c r="C1015"/>
      <c r="D1015"/>
      <c r="E1015"/>
      <c r="F1015"/>
      <c r="G1015" s="120"/>
      <c r="H1015" s="120"/>
      <c r="I1015"/>
    </row>
    <row r="1016" spans="1:9" ht="12.75">
      <c r="A1016"/>
      <c r="B1016"/>
      <c r="C1016"/>
      <c r="D1016"/>
      <c r="E1016"/>
      <c r="F1016"/>
      <c r="G1016" s="120"/>
      <c r="H1016" s="120"/>
      <c r="I1016"/>
    </row>
    <row r="1017" spans="1:9" ht="12.75">
      <c r="A1017"/>
      <c r="B1017"/>
      <c r="C1017"/>
      <c r="D1017"/>
      <c r="E1017"/>
      <c r="F1017"/>
      <c r="G1017" s="120"/>
      <c r="H1017" s="120"/>
      <c r="I1017"/>
    </row>
    <row r="1018" spans="1:9" ht="12.75">
      <c r="A1018"/>
      <c r="B1018"/>
      <c r="C1018"/>
      <c r="D1018"/>
      <c r="E1018"/>
      <c r="F1018"/>
      <c r="G1018" s="120"/>
      <c r="H1018" s="120"/>
      <c r="I1018"/>
    </row>
    <row r="1019" spans="1:9" ht="12.75">
      <c r="A1019"/>
      <c r="B1019"/>
      <c r="C1019"/>
      <c r="D1019"/>
      <c r="E1019"/>
      <c r="F1019"/>
      <c r="G1019" s="120"/>
      <c r="H1019" s="120"/>
      <c r="I1019"/>
    </row>
    <row r="1020" spans="1:9" ht="12.75">
      <c r="A1020"/>
      <c r="B1020"/>
      <c r="C1020"/>
      <c r="D1020"/>
      <c r="E1020"/>
      <c r="F1020"/>
      <c r="G1020" s="120"/>
      <c r="H1020" s="120"/>
      <c r="I1020"/>
    </row>
    <row r="1021" spans="1:9" ht="12.75">
      <c r="A1021"/>
      <c r="B1021"/>
      <c r="C1021"/>
      <c r="D1021"/>
      <c r="E1021"/>
      <c r="F1021"/>
      <c r="G1021" s="120"/>
      <c r="H1021" s="120"/>
      <c r="I1021"/>
    </row>
    <row r="1022" spans="1:9" ht="12.75">
      <c r="A1022"/>
      <c r="B1022"/>
      <c r="C1022"/>
      <c r="D1022"/>
      <c r="E1022"/>
      <c r="F1022"/>
      <c r="G1022" s="120"/>
      <c r="H1022" s="120"/>
      <c r="I1022"/>
    </row>
    <row r="1023" spans="1:9" ht="12.75">
      <c r="A1023"/>
      <c r="B1023"/>
      <c r="C1023"/>
      <c r="D1023"/>
      <c r="E1023"/>
      <c r="F1023"/>
      <c r="G1023" s="120"/>
      <c r="H1023" s="120"/>
      <c r="I1023"/>
    </row>
    <row r="1024" spans="1:9" ht="12.75">
      <c r="A1024"/>
      <c r="B1024"/>
      <c r="C1024"/>
      <c r="D1024"/>
      <c r="E1024"/>
      <c r="F1024"/>
      <c r="G1024" s="120"/>
      <c r="H1024" s="120"/>
      <c r="I1024"/>
    </row>
    <row r="1025" spans="1:9" ht="12.75">
      <c r="A1025"/>
      <c r="B1025"/>
      <c r="C1025"/>
      <c r="D1025"/>
      <c r="E1025"/>
      <c r="F1025"/>
      <c r="G1025" s="120"/>
      <c r="H1025" s="120"/>
      <c r="I1025"/>
    </row>
    <row r="1026" spans="1:9" ht="12.75">
      <c r="A1026"/>
      <c r="B1026"/>
      <c r="C1026"/>
      <c r="D1026"/>
      <c r="E1026"/>
      <c r="F1026"/>
      <c r="G1026" s="120"/>
      <c r="H1026" s="120"/>
      <c r="I1026"/>
    </row>
    <row r="1027" spans="1:9" ht="12.75">
      <c r="A1027"/>
      <c r="B1027"/>
      <c r="C1027"/>
      <c r="D1027"/>
      <c r="E1027"/>
      <c r="F1027"/>
      <c r="G1027" s="120"/>
      <c r="H1027" s="120"/>
      <c r="I1027"/>
    </row>
    <row r="1028" spans="1:9" ht="12.75">
      <c r="A1028"/>
      <c r="B1028"/>
      <c r="C1028"/>
      <c r="D1028"/>
      <c r="E1028"/>
      <c r="F1028"/>
      <c r="G1028" s="120"/>
      <c r="H1028" s="120"/>
      <c r="I1028"/>
    </row>
    <row r="1029" spans="1:9" ht="12.75">
      <c r="A1029"/>
      <c r="B1029"/>
      <c r="C1029"/>
      <c r="D1029"/>
      <c r="E1029"/>
      <c r="F1029"/>
      <c r="G1029" s="120"/>
      <c r="H1029" s="120"/>
      <c r="I1029"/>
    </row>
    <row r="1030" spans="1:9" ht="12.75">
      <c r="A1030"/>
      <c r="B1030"/>
      <c r="C1030"/>
      <c r="D1030"/>
      <c r="E1030"/>
      <c r="F1030"/>
      <c r="G1030" s="120"/>
      <c r="H1030" s="120"/>
      <c r="I1030"/>
    </row>
    <row r="1031" spans="1:9" ht="12.75">
      <c r="A1031"/>
      <c r="B1031"/>
      <c r="C1031"/>
      <c r="D1031"/>
      <c r="E1031"/>
      <c r="F1031"/>
      <c r="G1031" s="120"/>
      <c r="H1031" s="120"/>
      <c r="I1031"/>
    </row>
    <row r="1032" spans="1:9" ht="12.75">
      <c r="A1032"/>
      <c r="B1032"/>
      <c r="C1032"/>
      <c r="D1032"/>
      <c r="E1032"/>
      <c r="F1032"/>
      <c r="G1032" s="120"/>
      <c r="H1032" s="120"/>
      <c r="I1032"/>
    </row>
    <row r="1033" spans="1:9" ht="12.75">
      <c r="A1033"/>
      <c r="B1033"/>
      <c r="C1033"/>
      <c r="D1033"/>
      <c r="E1033"/>
      <c r="F1033"/>
      <c r="G1033" s="120"/>
      <c r="H1033" s="120"/>
      <c r="I1033"/>
    </row>
    <row r="1034" spans="1:9" ht="12.75">
      <c r="A1034"/>
      <c r="B1034"/>
      <c r="C1034"/>
      <c r="D1034"/>
      <c r="E1034"/>
      <c r="F1034"/>
      <c r="G1034" s="120"/>
      <c r="H1034" s="120"/>
      <c r="I1034"/>
    </row>
    <row r="1035" spans="1:9" ht="12.75">
      <c r="A1035"/>
      <c r="B1035"/>
      <c r="C1035"/>
      <c r="D1035"/>
      <c r="E1035"/>
      <c r="F1035"/>
      <c r="G1035" s="120"/>
      <c r="H1035" s="120"/>
      <c r="I1035"/>
    </row>
    <row r="1036" spans="1:9" ht="12.75">
      <c r="A1036"/>
      <c r="B1036"/>
      <c r="C1036"/>
      <c r="D1036"/>
      <c r="E1036"/>
      <c r="F1036"/>
      <c r="G1036" s="120"/>
      <c r="H1036" s="120"/>
      <c r="I1036"/>
    </row>
    <row r="1037" spans="1:9" ht="12.75">
      <c r="A1037"/>
      <c r="B1037"/>
      <c r="C1037"/>
      <c r="D1037"/>
      <c r="E1037"/>
      <c r="F1037"/>
      <c r="G1037" s="120"/>
      <c r="H1037" s="120"/>
      <c r="I1037"/>
    </row>
    <row r="1038" spans="1:9" ht="12.75">
      <c r="A1038"/>
      <c r="B1038"/>
      <c r="C1038"/>
      <c r="D1038"/>
      <c r="E1038"/>
      <c r="F1038"/>
      <c r="G1038" s="120"/>
      <c r="H1038" s="120"/>
      <c r="I1038"/>
    </row>
    <row r="1039" spans="1:9" ht="12.75">
      <c r="A1039"/>
      <c r="B1039"/>
      <c r="C1039"/>
      <c r="D1039"/>
      <c r="E1039"/>
      <c r="F1039"/>
      <c r="G1039" s="120"/>
      <c r="H1039" s="120"/>
      <c r="I1039"/>
    </row>
    <row r="1040" spans="1:9" ht="12.75">
      <c r="A1040"/>
      <c r="B1040"/>
      <c r="C1040"/>
      <c r="D1040"/>
      <c r="E1040"/>
      <c r="F1040"/>
      <c r="G1040" s="120"/>
      <c r="H1040" s="120"/>
      <c r="I1040"/>
    </row>
    <row r="1041" spans="1:9" ht="12.75">
      <c r="A1041"/>
      <c r="B1041"/>
      <c r="C1041"/>
      <c r="D1041"/>
      <c r="E1041"/>
      <c r="F1041"/>
      <c r="G1041" s="120"/>
      <c r="H1041" s="120"/>
      <c r="I1041"/>
    </row>
    <row r="1042" spans="1:9" ht="12.75">
      <c r="A1042"/>
      <c r="B1042"/>
      <c r="C1042"/>
      <c r="D1042"/>
      <c r="E1042"/>
      <c r="F1042"/>
      <c r="G1042" s="120"/>
      <c r="H1042" s="120"/>
      <c r="I1042"/>
    </row>
    <row r="1043" spans="1:9" ht="12.75">
      <c r="A1043"/>
      <c r="B1043"/>
      <c r="C1043"/>
      <c r="D1043"/>
      <c r="E1043"/>
      <c r="F1043"/>
      <c r="G1043" s="120"/>
      <c r="H1043" s="120"/>
      <c r="I1043"/>
    </row>
    <row r="1044" spans="1:9" ht="12.75">
      <c r="A1044"/>
      <c r="B1044"/>
      <c r="C1044"/>
      <c r="D1044"/>
      <c r="E1044"/>
      <c r="F1044"/>
      <c r="G1044" s="120"/>
      <c r="H1044" s="120"/>
      <c r="I1044"/>
    </row>
    <row r="1045" spans="1:9" ht="12.75">
      <c r="A1045"/>
      <c r="B1045"/>
      <c r="C1045"/>
      <c r="D1045"/>
      <c r="E1045"/>
      <c r="F1045"/>
      <c r="G1045" s="120"/>
      <c r="H1045" s="120"/>
      <c r="I1045"/>
    </row>
    <row r="1046" spans="1:9" ht="12.75">
      <c r="A1046"/>
      <c r="B1046"/>
      <c r="C1046"/>
      <c r="D1046"/>
      <c r="E1046"/>
      <c r="F1046"/>
      <c r="G1046" s="120"/>
      <c r="H1046" s="120"/>
      <c r="I1046"/>
    </row>
    <row r="1047" spans="1:9" ht="12.75">
      <c r="A1047"/>
      <c r="B1047"/>
      <c r="C1047"/>
      <c r="D1047"/>
      <c r="E1047"/>
      <c r="F1047"/>
      <c r="G1047" s="120"/>
      <c r="H1047" s="120"/>
      <c r="I1047"/>
    </row>
    <row r="1048" spans="1:9" ht="12.75">
      <c r="A1048"/>
      <c r="B1048"/>
      <c r="C1048"/>
      <c r="D1048"/>
      <c r="E1048"/>
      <c r="F1048"/>
      <c r="G1048" s="120"/>
      <c r="H1048" s="120"/>
      <c r="I1048"/>
    </row>
    <row r="1049" spans="1:9" ht="12.75">
      <c r="A1049"/>
      <c r="B1049"/>
      <c r="C1049"/>
      <c r="D1049"/>
      <c r="E1049"/>
      <c r="F1049"/>
      <c r="G1049" s="120"/>
      <c r="H1049" s="120"/>
      <c r="I1049"/>
    </row>
    <row r="1050" spans="1:9" ht="12.75">
      <c r="A1050"/>
      <c r="B1050"/>
      <c r="C1050"/>
      <c r="D1050"/>
      <c r="E1050"/>
      <c r="F1050"/>
      <c r="G1050" s="120"/>
      <c r="H1050" s="120"/>
      <c r="I1050"/>
    </row>
    <row r="1051" spans="1:9" ht="12.75">
      <c r="A1051"/>
      <c r="B1051"/>
      <c r="C1051"/>
      <c r="D1051"/>
      <c r="E1051"/>
      <c r="F1051"/>
      <c r="G1051" s="120"/>
      <c r="H1051" s="120"/>
      <c r="I1051"/>
    </row>
    <row r="1052" spans="1:9" ht="12.75">
      <c r="A1052"/>
      <c r="B1052"/>
      <c r="C1052"/>
      <c r="D1052"/>
      <c r="E1052"/>
      <c r="F1052"/>
      <c r="G1052" s="120"/>
      <c r="H1052" s="120"/>
      <c r="I1052"/>
    </row>
    <row r="1053" spans="1:9" ht="12.75">
      <c r="A1053"/>
      <c r="B1053"/>
      <c r="C1053"/>
      <c r="D1053"/>
      <c r="E1053"/>
      <c r="F1053"/>
      <c r="G1053" s="120"/>
      <c r="H1053" s="120"/>
      <c r="I1053"/>
    </row>
    <row r="1054" spans="1:9" ht="12.75">
      <c r="A1054"/>
      <c r="B1054"/>
      <c r="C1054"/>
      <c r="D1054"/>
      <c r="E1054"/>
      <c r="F1054"/>
      <c r="G1054" s="120"/>
      <c r="H1054" s="120"/>
      <c r="I1054"/>
    </row>
    <row r="1055" spans="1:9" ht="12.75">
      <c r="A1055"/>
      <c r="B1055"/>
      <c r="C1055"/>
      <c r="D1055"/>
      <c r="E1055"/>
      <c r="F1055"/>
      <c r="G1055" s="120"/>
      <c r="H1055" s="120"/>
      <c r="I1055"/>
    </row>
    <row r="1056" spans="1:9" ht="12.75">
      <c r="A1056"/>
      <c r="B1056"/>
      <c r="C1056"/>
      <c r="D1056"/>
      <c r="E1056"/>
      <c r="F1056"/>
      <c r="G1056" s="120"/>
      <c r="H1056" s="120"/>
      <c r="I1056"/>
    </row>
    <row r="1057" spans="1:9" ht="12.75">
      <c r="A1057"/>
      <c r="B1057"/>
      <c r="C1057"/>
      <c r="D1057"/>
      <c r="E1057"/>
      <c r="F1057"/>
      <c r="G1057" s="120"/>
      <c r="H1057" s="120"/>
      <c r="I1057"/>
    </row>
    <row r="1058" spans="1:9" ht="12.75">
      <c r="A1058"/>
      <c r="B1058"/>
      <c r="C1058"/>
      <c r="D1058"/>
      <c r="E1058"/>
      <c r="F1058"/>
      <c r="G1058" s="120"/>
      <c r="H1058" s="120"/>
      <c r="I1058"/>
    </row>
    <row r="1059" spans="1:9" ht="12.75">
      <c r="A1059"/>
      <c r="B1059"/>
      <c r="C1059"/>
      <c r="D1059"/>
      <c r="E1059"/>
      <c r="F1059"/>
      <c r="G1059" s="120"/>
      <c r="H1059" s="120"/>
      <c r="I1059"/>
    </row>
    <row r="1060" spans="1:9" ht="12.75">
      <c r="A1060"/>
      <c r="B1060"/>
      <c r="C1060"/>
      <c r="D1060"/>
      <c r="E1060"/>
      <c r="F1060"/>
      <c r="G1060" s="120"/>
      <c r="H1060" s="120"/>
      <c r="I1060"/>
    </row>
    <row r="1061" spans="1:9" ht="12.75">
      <c r="A1061"/>
      <c r="B1061"/>
      <c r="C1061"/>
      <c r="D1061"/>
      <c r="E1061"/>
      <c r="F1061"/>
      <c r="G1061" s="120"/>
      <c r="H1061" s="120"/>
      <c r="I1061"/>
    </row>
    <row r="1062" spans="1:9" ht="12.75">
      <c r="A1062"/>
      <c r="B1062"/>
      <c r="C1062"/>
      <c r="D1062"/>
      <c r="E1062"/>
      <c r="F1062"/>
      <c r="G1062" s="120"/>
      <c r="H1062" s="120"/>
      <c r="I1062"/>
    </row>
    <row r="1063" spans="1:9" ht="12.75">
      <c r="A1063"/>
      <c r="B1063"/>
      <c r="C1063"/>
      <c r="D1063"/>
      <c r="E1063"/>
      <c r="F1063"/>
      <c r="G1063" s="120"/>
      <c r="H1063" s="120"/>
      <c r="I1063"/>
    </row>
    <row r="1064" spans="1:9" ht="12.75">
      <c r="A1064"/>
      <c r="B1064"/>
      <c r="C1064"/>
      <c r="D1064"/>
      <c r="E1064"/>
      <c r="F1064"/>
      <c r="G1064" s="120"/>
      <c r="H1064" s="120"/>
      <c r="I1064"/>
    </row>
    <row r="1065" spans="1:9" ht="12.75">
      <c r="A1065"/>
      <c r="B1065"/>
      <c r="C1065"/>
      <c r="D1065"/>
      <c r="E1065"/>
      <c r="F1065"/>
      <c r="G1065" s="120"/>
      <c r="H1065" s="120"/>
      <c r="I1065"/>
    </row>
    <row r="1066" spans="1:9" ht="12.75">
      <c r="A1066"/>
      <c r="B1066"/>
      <c r="C1066"/>
      <c r="D1066"/>
      <c r="E1066"/>
      <c r="F1066"/>
      <c r="G1066" s="120"/>
      <c r="H1066" s="120"/>
      <c r="I1066"/>
    </row>
    <row r="1067" spans="1:9" ht="12.75">
      <c r="A1067"/>
      <c r="B1067"/>
      <c r="C1067"/>
      <c r="D1067"/>
      <c r="E1067"/>
      <c r="F1067"/>
      <c r="G1067" s="120"/>
      <c r="H1067" s="120"/>
      <c r="I1067"/>
    </row>
    <row r="1068" spans="1:9" ht="12.75">
      <c r="A1068"/>
      <c r="B1068"/>
      <c r="C1068"/>
      <c r="D1068"/>
      <c r="E1068"/>
      <c r="F1068"/>
      <c r="G1068" s="120"/>
      <c r="H1068" s="120"/>
      <c r="I1068"/>
    </row>
    <row r="1069" spans="1:9" ht="12.75">
      <c r="A1069"/>
      <c r="B1069"/>
      <c r="C1069"/>
      <c r="D1069"/>
      <c r="E1069"/>
      <c r="F1069"/>
      <c r="G1069" s="120"/>
      <c r="H1069" s="120"/>
      <c r="I1069"/>
    </row>
    <row r="1070" spans="1:9" ht="12.75">
      <c r="A1070"/>
      <c r="B1070"/>
      <c r="C1070"/>
      <c r="D1070"/>
      <c r="E1070"/>
      <c r="F1070"/>
      <c r="G1070" s="120"/>
      <c r="H1070" s="120"/>
      <c r="I1070"/>
    </row>
    <row r="1071" spans="1:9" ht="12.75">
      <c r="A1071"/>
      <c r="B1071"/>
      <c r="C1071"/>
      <c r="D1071"/>
      <c r="E1071"/>
      <c r="F1071"/>
      <c r="G1071" s="120"/>
      <c r="H1071" s="120"/>
      <c r="I1071"/>
    </row>
    <row r="1072" spans="1:9" ht="12.75">
      <c r="A1072"/>
      <c r="B1072"/>
      <c r="C1072"/>
      <c r="D1072"/>
      <c r="E1072"/>
      <c r="F1072"/>
      <c r="G1072" s="120"/>
      <c r="H1072" s="120"/>
      <c r="I1072"/>
    </row>
    <row r="1073" spans="1:9" ht="12.75">
      <c r="A1073"/>
      <c r="B1073"/>
      <c r="C1073"/>
      <c r="D1073"/>
      <c r="E1073"/>
      <c r="F1073"/>
      <c r="G1073" s="120"/>
      <c r="H1073" s="120"/>
      <c r="I1073"/>
    </row>
    <row r="1074" spans="1:9" ht="12.75">
      <c r="A1074"/>
      <c r="B1074"/>
      <c r="C1074"/>
      <c r="D1074"/>
      <c r="E1074"/>
      <c r="F1074"/>
      <c r="G1074" s="120"/>
      <c r="H1074" s="120"/>
      <c r="I1074"/>
    </row>
    <row r="1075" spans="1:9" ht="12.75">
      <c r="A1075"/>
      <c r="B1075"/>
      <c r="C1075"/>
      <c r="D1075"/>
      <c r="E1075"/>
      <c r="F1075"/>
      <c r="G1075" s="120"/>
      <c r="H1075" s="120"/>
      <c r="I1075"/>
    </row>
    <row r="1076" spans="1:9" ht="12.75">
      <c r="A1076"/>
      <c r="B1076"/>
      <c r="C1076"/>
      <c r="D1076"/>
      <c r="E1076"/>
      <c r="F1076"/>
      <c r="G1076" s="120"/>
      <c r="H1076" s="120"/>
      <c r="I1076"/>
    </row>
    <row r="1077" spans="1:9" ht="12.75">
      <c r="A1077"/>
      <c r="B1077"/>
      <c r="C1077"/>
      <c r="D1077"/>
      <c r="E1077"/>
      <c r="F1077"/>
      <c r="G1077" s="120"/>
      <c r="H1077" s="120"/>
      <c r="I1077"/>
    </row>
    <row r="1078" spans="1:9" ht="12.75">
      <c r="A1078"/>
      <c r="B1078"/>
      <c r="C1078"/>
      <c r="D1078"/>
      <c r="E1078"/>
      <c r="F1078"/>
      <c r="G1078" s="120"/>
      <c r="H1078" s="120"/>
      <c r="I1078"/>
    </row>
    <row r="1079" spans="1:9" ht="12.75">
      <c r="A1079"/>
      <c r="B1079"/>
      <c r="C1079"/>
      <c r="D1079"/>
      <c r="E1079"/>
      <c r="F1079"/>
      <c r="G1079" s="120"/>
      <c r="H1079" s="120"/>
      <c r="I1079"/>
    </row>
    <row r="1080" spans="1:9" ht="12.75">
      <c r="A1080"/>
      <c r="B1080"/>
      <c r="C1080"/>
      <c r="D1080"/>
      <c r="E1080"/>
      <c r="F1080"/>
      <c r="G1080" s="120"/>
      <c r="H1080" s="120"/>
      <c r="I1080"/>
    </row>
    <row r="1081" spans="1:9" ht="12.75">
      <c r="A1081"/>
      <c r="B1081"/>
      <c r="C1081"/>
      <c r="D1081"/>
      <c r="E1081"/>
      <c r="F1081"/>
      <c r="G1081" s="120"/>
      <c r="H1081" s="120"/>
      <c r="I1081"/>
    </row>
    <row r="1082" spans="1:9" ht="12.75">
      <c r="A1082"/>
      <c r="B1082"/>
      <c r="C1082"/>
      <c r="D1082"/>
      <c r="E1082"/>
      <c r="F1082"/>
      <c r="G1082" s="120"/>
      <c r="H1082" s="120"/>
      <c r="I1082"/>
    </row>
    <row r="1083" spans="1:9" ht="12.75">
      <c r="A1083"/>
      <c r="B1083"/>
      <c r="C1083"/>
      <c r="D1083"/>
      <c r="E1083"/>
      <c r="F1083"/>
      <c r="G1083" s="120"/>
      <c r="H1083" s="120"/>
      <c r="I1083"/>
    </row>
    <row r="1084" spans="1:9" ht="12.75">
      <c r="A1084"/>
      <c r="B1084"/>
      <c r="C1084"/>
      <c r="D1084"/>
      <c r="E1084"/>
      <c r="F1084"/>
      <c r="G1084" s="120"/>
      <c r="H1084" s="120"/>
      <c r="I1084"/>
    </row>
    <row r="1085" spans="1:9" ht="12.75">
      <c r="A1085"/>
      <c r="B1085"/>
      <c r="C1085"/>
      <c r="D1085"/>
      <c r="E1085"/>
      <c r="F1085"/>
      <c r="G1085" s="120"/>
      <c r="H1085" s="120"/>
      <c r="I1085"/>
    </row>
    <row r="1086" spans="1:9" ht="12.75">
      <c r="A1086"/>
      <c r="B1086"/>
      <c r="C1086"/>
      <c r="D1086"/>
      <c r="E1086"/>
      <c r="F1086"/>
      <c r="G1086" s="120"/>
      <c r="H1086" s="120"/>
      <c r="I1086"/>
    </row>
    <row r="1087" spans="1:9" ht="12.75">
      <c r="A1087"/>
      <c r="B1087"/>
      <c r="C1087"/>
      <c r="D1087"/>
      <c r="E1087"/>
      <c r="F1087"/>
      <c r="G1087" s="120"/>
      <c r="H1087" s="120"/>
      <c r="I1087"/>
    </row>
    <row r="1088" spans="1:9" ht="12.75">
      <c r="A1088"/>
      <c r="B1088"/>
      <c r="C1088"/>
      <c r="D1088"/>
      <c r="E1088"/>
      <c r="F1088"/>
      <c r="G1088" s="120"/>
      <c r="H1088" s="120"/>
      <c r="I1088"/>
    </row>
    <row r="1089" spans="1:9" ht="12.75">
      <c r="A1089"/>
      <c r="B1089"/>
      <c r="C1089"/>
      <c r="D1089"/>
      <c r="E1089"/>
      <c r="F1089"/>
      <c r="G1089" s="120"/>
      <c r="H1089" s="120"/>
      <c r="I1089"/>
    </row>
    <row r="1090" spans="1:9" ht="12.75">
      <c r="A1090"/>
      <c r="B1090"/>
      <c r="C1090"/>
      <c r="D1090"/>
      <c r="E1090"/>
      <c r="F1090"/>
      <c r="G1090" s="120"/>
      <c r="H1090" s="120"/>
      <c r="I1090"/>
    </row>
    <row r="1091" spans="1:9" ht="12.75">
      <c r="A1091"/>
      <c r="B1091"/>
      <c r="C1091"/>
      <c r="D1091"/>
      <c r="E1091"/>
      <c r="F1091"/>
      <c r="G1091" s="120"/>
      <c r="H1091" s="120"/>
      <c r="I1091"/>
    </row>
    <row r="1092" spans="1:9" ht="12.75">
      <c r="A1092"/>
      <c r="B1092"/>
      <c r="C1092"/>
      <c r="D1092"/>
      <c r="E1092"/>
      <c r="F1092"/>
      <c r="G1092" s="120"/>
      <c r="H1092" s="120"/>
      <c r="I1092"/>
    </row>
    <row r="1093" spans="1:9" ht="12.75">
      <c r="A1093"/>
      <c r="B1093"/>
      <c r="C1093"/>
      <c r="D1093"/>
      <c r="E1093"/>
      <c r="F1093"/>
      <c r="G1093" s="120"/>
      <c r="H1093" s="120"/>
      <c r="I1093"/>
    </row>
    <row r="1094" spans="1:9" ht="12.75">
      <c r="A1094"/>
      <c r="B1094"/>
      <c r="C1094"/>
      <c r="D1094"/>
      <c r="E1094"/>
      <c r="F1094"/>
      <c r="G1094" s="120"/>
      <c r="H1094" s="120"/>
      <c r="I1094"/>
    </row>
    <row r="1095" spans="1:9" ht="12.75">
      <c r="A1095"/>
      <c r="B1095"/>
      <c r="C1095"/>
      <c r="D1095"/>
      <c r="E1095"/>
      <c r="F1095"/>
      <c r="G1095" s="120"/>
      <c r="H1095" s="120"/>
      <c r="I1095"/>
    </row>
    <row r="1096" spans="1:9" ht="12.75">
      <c r="A1096"/>
      <c r="B1096"/>
      <c r="C1096"/>
      <c r="D1096"/>
      <c r="E1096"/>
      <c r="F1096"/>
      <c r="G1096" s="120"/>
      <c r="H1096" s="120"/>
      <c r="I1096"/>
    </row>
    <row r="1097" spans="1:9" ht="12.75">
      <c r="A1097"/>
      <c r="B1097"/>
      <c r="C1097"/>
      <c r="D1097"/>
      <c r="E1097"/>
      <c r="F1097"/>
      <c r="G1097" s="120"/>
      <c r="H1097" s="120"/>
      <c r="I1097"/>
    </row>
    <row r="1098" spans="1:9" ht="12.75">
      <c r="A1098"/>
      <c r="B1098"/>
      <c r="C1098"/>
      <c r="D1098"/>
      <c r="E1098"/>
      <c r="F1098"/>
      <c r="G1098" s="120"/>
      <c r="H1098" s="120"/>
      <c r="I1098"/>
    </row>
    <row r="1099" spans="1:9" ht="12.75">
      <c r="A1099"/>
      <c r="B1099"/>
      <c r="C1099"/>
      <c r="D1099"/>
      <c r="E1099"/>
      <c r="F1099"/>
      <c r="G1099" s="120"/>
      <c r="H1099" s="120"/>
      <c r="I1099"/>
    </row>
    <row r="1100" spans="1:9" ht="12.75">
      <c r="A1100"/>
      <c r="B1100"/>
      <c r="C1100"/>
      <c r="D1100"/>
      <c r="E1100"/>
      <c r="F1100"/>
      <c r="G1100" s="120"/>
      <c r="H1100" s="120"/>
      <c r="I1100"/>
    </row>
    <row r="1101" spans="1:9" ht="12.75">
      <c r="A1101"/>
      <c r="B1101"/>
      <c r="C1101"/>
      <c r="D1101"/>
      <c r="E1101"/>
      <c r="F1101"/>
      <c r="G1101" s="120"/>
      <c r="H1101" s="120"/>
      <c r="I1101"/>
    </row>
    <row r="1102" spans="1:9" ht="12.75">
      <c r="A1102"/>
      <c r="B1102"/>
      <c r="C1102"/>
      <c r="D1102"/>
      <c r="E1102"/>
      <c r="F1102"/>
      <c r="G1102" s="120"/>
      <c r="H1102" s="120"/>
      <c r="I1102"/>
    </row>
    <row r="1103" spans="1:9" ht="12.75">
      <c r="A1103"/>
      <c r="B1103"/>
      <c r="C1103"/>
      <c r="D1103"/>
      <c r="E1103"/>
      <c r="F1103"/>
      <c r="G1103" s="120"/>
      <c r="H1103" s="120"/>
      <c r="I1103"/>
    </row>
    <row r="1104" spans="1:9" ht="12.75">
      <c r="A1104"/>
      <c r="B1104"/>
      <c r="C1104"/>
      <c r="D1104"/>
      <c r="E1104"/>
      <c r="F1104"/>
      <c r="G1104" s="120"/>
      <c r="H1104" s="120"/>
      <c r="I1104"/>
    </row>
    <row r="1105" spans="1:9" ht="12.75">
      <c r="A1105"/>
      <c r="B1105"/>
      <c r="C1105"/>
      <c r="D1105"/>
      <c r="E1105"/>
      <c r="F1105"/>
      <c r="G1105" s="120"/>
      <c r="H1105" s="120"/>
      <c r="I1105"/>
    </row>
    <row r="1106" spans="1:9" ht="12.75">
      <c r="A1106"/>
      <c r="B1106"/>
      <c r="C1106"/>
      <c r="D1106"/>
      <c r="E1106"/>
      <c r="F1106"/>
      <c r="G1106" s="120"/>
      <c r="H1106" s="120"/>
      <c r="I1106"/>
    </row>
    <row r="1107" spans="1:9" ht="12.75">
      <c r="A1107"/>
      <c r="B1107"/>
      <c r="C1107"/>
      <c r="D1107"/>
      <c r="E1107"/>
      <c r="F1107"/>
      <c r="G1107" s="120"/>
      <c r="H1107" s="120"/>
      <c r="I1107"/>
    </row>
    <row r="1108" spans="1:9" ht="12.75">
      <c r="A1108"/>
      <c r="B1108"/>
      <c r="C1108"/>
      <c r="D1108"/>
      <c r="E1108"/>
      <c r="F1108"/>
      <c r="G1108" s="120"/>
      <c r="H1108" s="120"/>
      <c r="I1108"/>
    </row>
    <row r="1109" spans="1:9" ht="12.75">
      <c r="A1109"/>
      <c r="B1109"/>
      <c r="C1109"/>
      <c r="D1109"/>
      <c r="E1109"/>
      <c r="F1109"/>
      <c r="G1109" s="120"/>
      <c r="H1109" s="120"/>
      <c r="I1109"/>
    </row>
    <row r="1110" spans="1:9" ht="12.75">
      <c r="A1110"/>
      <c r="B1110"/>
      <c r="C1110"/>
      <c r="D1110"/>
      <c r="E1110"/>
      <c r="F1110"/>
      <c r="G1110" s="120"/>
      <c r="H1110" s="120"/>
      <c r="I1110"/>
    </row>
    <row r="1111" spans="1:9" ht="12.75">
      <c r="A1111"/>
      <c r="B1111"/>
      <c r="C1111"/>
      <c r="D1111"/>
      <c r="E1111"/>
      <c r="F1111"/>
      <c r="G1111" s="120"/>
      <c r="H1111" s="120"/>
      <c r="I1111"/>
    </row>
    <row r="1112" spans="1:9" ht="12.75">
      <c r="A1112"/>
      <c r="B1112"/>
      <c r="C1112"/>
      <c r="D1112"/>
      <c r="E1112"/>
      <c r="F1112"/>
      <c r="G1112" s="120"/>
      <c r="H1112" s="120"/>
      <c r="I1112"/>
    </row>
    <row r="1113" spans="1:9" ht="12.75">
      <c r="A1113"/>
      <c r="B1113"/>
      <c r="C1113"/>
      <c r="D1113"/>
      <c r="E1113"/>
      <c r="F1113"/>
      <c r="G1113" s="120"/>
      <c r="H1113" s="120"/>
      <c r="I1113"/>
    </row>
    <row r="1114" spans="1:9" ht="12.75">
      <c r="A1114"/>
      <c r="B1114"/>
      <c r="C1114"/>
      <c r="D1114"/>
      <c r="E1114"/>
      <c r="F1114"/>
      <c r="G1114" s="120"/>
      <c r="H1114" s="120"/>
      <c r="I1114"/>
    </row>
    <row r="1115" spans="1:9" ht="12.75">
      <c r="A1115"/>
      <c r="B1115"/>
      <c r="C1115"/>
      <c r="D1115"/>
      <c r="E1115"/>
      <c r="F1115"/>
      <c r="G1115" s="120"/>
      <c r="H1115" s="120"/>
      <c r="I1115"/>
    </row>
    <row r="1116" spans="1:9" ht="12.75">
      <c r="A1116"/>
      <c r="B1116"/>
      <c r="C1116"/>
      <c r="D1116"/>
      <c r="E1116"/>
      <c r="F1116"/>
      <c r="G1116" s="120"/>
      <c r="H1116" s="120"/>
      <c r="I1116"/>
    </row>
    <row r="1117" spans="1:9" ht="12.75">
      <c r="A1117"/>
      <c r="B1117"/>
      <c r="C1117"/>
      <c r="D1117"/>
      <c r="E1117"/>
      <c r="F1117"/>
      <c r="G1117" s="120"/>
      <c r="H1117" s="120"/>
      <c r="I1117"/>
    </row>
    <row r="1118" spans="1:9" ht="12.75">
      <c r="A1118"/>
      <c r="B1118"/>
      <c r="C1118"/>
      <c r="D1118"/>
      <c r="E1118"/>
      <c r="F1118"/>
      <c r="G1118" s="120"/>
      <c r="H1118" s="120"/>
      <c r="I1118"/>
    </row>
    <row r="1119" spans="1:9" ht="12.75">
      <c r="A1119"/>
      <c r="B1119"/>
      <c r="C1119"/>
      <c r="D1119"/>
      <c r="E1119"/>
      <c r="F1119"/>
      <c r="G1119" s="120"/>
      <c r="H1119" s="120"/>
      <c r="I1119"/>
    </row>
    <row r="1120" spans="1:9" ht="12.75">
      <c r="A1120"/>
      <c r="B1120"/>
      <c r="C1120"/>
      <c r="D1120"/>
      <c r="E1120"/>
      <c r="F1120"/>
      <c r="G1120" s="120"/>
      <c r="H1120" s="120"/>
      <c r="I1120"/>
    </row>
    <row r="1121" spans="1:9" ht="12.75">
      <c r="A1121"/>
      <c r="B1121"/>
      <c r="C1121"/>
      <c r="D1121"/>
      <c r="E1121"/>
      <c r="F1121"/>
      <c r="G1121" s="120"/>
      <c r="H1121" s="120"/>
      <c r="I1121"/>
    </row>
    <row r="1122" spans="1:9" ht="12.75">
      <c r="A1122"/>
      <c r="B1122"/>
      <c r="C1122"/>
      <c r="D1122"/>
      <c r="E1122"/>
      <c r="F1122"/>
      <c r="G1122" s="120"/>
      <c r="H1122" s="120"/>
      <c r="I1122"/>
    </row>
    <row r="1123" spans="1:9" ht="12.75">
      <c r="A1123"/>
      <c r="B1123"/>
      <c r="C1123"/>
      <c r="D1123"/>
      <c r="E1123"/>
      <c r="F1123"/>
      <c r="G1123" s="120"/>
      <c r="H1123" s="120"/>
      <c r="I1123"/>
    </row>
    <row r="1124" spans="1:9" ht="12.75">
      <c r="A1124"/>
      <c r="B1124"/>
      <c r="C1124"/>
      <c r="D1124"/>
      <c r="E1124"/>
      <c r="F1124"/>
      <c r="G1124" s="120"/>
      <c r="H1124" s="120"/>
      <c r="I1124"/>
    </row>
    <row r="1125" spans="1:9" ht="12.75">
      <c r="A1125"/>
      <c r="B1125"/>
      <c r="C1125"/>
      <c r="D1125"/>
      <c r="E1125"/>
      <c r="F1125"/>
      <c r="G1125" s="120"/>
      <c r="H1125" s="120"/>
      <c r="I1125"/>
    </row>
    <row r="1126" spans="1:9" ht="12.75">
      <c r="A1126"/>
      <c r="B1126"/>
      <c r="C1126"/>
      <c r="D1126"/>
      <c r="E1126"/>
      <c r="F1126"/>
      <c r="G1126" s="120"/>
      <c r="H1126" s="120"/>
      <c r="I1126"/>
    </row>
    <row r="1127" spans="1:9" ht="12.75">
      <c r="A1127"/>
      <c r="B1127"/>
      <c r="C1127"/>
      <c r="D1127"/>
      <c r="E1127"/>
      <c r="F1127"/>
      <c r="G1127" s="120"/>
      <c r="H1127" s="120"/>
      <c r="I1127"/>
    </row>
    <row r="1128" spans="1:9" ht="12.75">
      <c r="A1128"/>
      <c r="B1128"/>
      <c r="C1128"/>
      <c r="D1128"/>
      <c r="E1128"/>
      <c r="F1128"/>
      <c r="G1128" s="120"/>
      <c r="H1128" s="120"/>
      <c r="I1128"/>
    </row>
    <row r="1129" spans="1:9" ht="12.75">
      <c r="A1129"/>
      <c r="B1129"/>
      <c r="C1129"/>
      <c r="D1129"/>
      <c r="E1129"/>
      <c r="F1129"/>
      <c r="G1129" s="120"/>
      <c r="H1129" s="120"/>
      <c r="I1129"/>
    </row>
    <row r="1130" spans="1:9" ht="12.75">
      <c r="A1130"/>
      <c r="B1130"/>
      <c r="C1130"/>
      <c r="D1130"/>
      <c r="E1130"/>
      <c r="F1130"/>
      <c r="G1130" s="120"/>
      <c r="H1130" s="120"/>
      <c r="I1130"/>
    </row>
    <row r="1131" spans="1:9" ht="12.75">
      <c r="A1131"/>
      <c r="B1131"/>
      <c r="C1131"/>
      <c r="D1131"/>
      <c r="E1131"/>
      <c r="F1131"/>
      <c r="G1131" s="120"/>
      <c r="H1131" s="120"/>
      <c r="I1131"/>
    </row>
    <row r="1132" spans="1:9" ht="12.75">
      <c r="A1132"/>
      <c r="B1132"/>
      <c r="C1132"/>
      <c r="D1132"/>
      <c r="E1132"/>
      <c r="F1132"/>
      <c r="G1132" s="120"/>
      <c r="H1132" s="120"/>
      <c r="I1132"/>
    </row>
    <row r="1133" spans="1:9" ht="12.75">
      <c r="A1133"/>
      <c r="B1133"/>
      <c r="C1133"/>
      <c r="D1133"/>
      <c r="E1133"/>
      <c r="F1133"/>
      <c r="G1133" s="120"/>
      <c r="H1133" s="120"/>
      <c r="I1133"/>
    </row>
    <row r="1134" spans="1:9" ht="12.75">
      <c r="A1134"/>
      <c r="B1134"/>
      <c r="C1134"/>
      <c r="D1134"/>
      <c r="E1134"/>
      <c r="F1134"/>
      <c r="G1134" s="120"/>
      <c r="H1134" s="120"/>
      <c r="I1134"/>
    </row>
    <row r="1135" spans="1:9" ht="12.75">
      <c r="A1135"/>
      <c r="B1135"/>
      <c r="C1135"/>
      <c r="D1135"/>
      <c r="E1135"/>
      <c r="F1135"/>
      <c r="G1135" s="120"/>
      <c r="H1135" s="120"/>
      <c r="I1135"/>
    </row>
    <row r="1136" spans="1:9" ht="12.75">
      <c r="A1136"/>
      <c r="B1136"/>
      <c r="C1136"/>
      <c r="D1136"/>
      <c r="E1136"/>
      <c r="F1136"/>
      <c r="G1136" s="120"/>
      <c r="H1136" s="120"/>
      <c r="I1136"/>
    </row>
    <row r="1137" spans="1:9" ht="12.75">
      <c r="A1137"/>
      <c r="B1137"/>
      <c r="C1137"/>
      <c r="D1137"/>
      <c r="E1137"/>
      <c r="F1137"/>
      <c r="G1137" s="120"/>
      <c r="H1137" s="120"/>
      <c r="I1137"/>
    </row>
    <row r="1138" spans="1:9" ht="12.75">
      <c r="A1138"/>
      <c r="B1138"/>
      <c r="C1138"/>
      <c r="D1138"/>
      <c r="E1138"/>
      <c r="F1138"/>
      <c r="G1138" s="120"/>
      <c r="H1138" s="120"/>
      <c r="I1138"/>
    </row>
    <row r="1139" spans="1:9" ht="12.75">
      <c r="A1139"/>
      <c r="B1139"/>
      <c r="C1139"/>
      <c r="D1139"/>
      <c r="E1139"/>
      <c r="F1139"/>
      <c r="G1139" s="120"/>
      <c r="H1139" s="120"/>
      <c r="I1139"/>
    </row>
    <row r="1140" spans="1:9" ht="12.75">
      <c r="A1140"/>
      <c r="B1140"/>
      <c r="C1140"/>
      <c r="D1140"/>
      <c r="E1140"/>
      <c r="F1140"/>
      <c r="G1140" s="120"/>
      <c r="H1140" s="120"/>
      <c r="I1140"/>
    </row>
    <row r="1141" spans="1:9" ht="12.75">
      <c r="A1141"/>
      <c r="B1141"/>
      <c r="C1141"/>
      <c r="D1141"/>
      <c r="E1141"/>
      <c r="F1141"/>
      <c r="G1141" s="120"/>
      <c r="H1141" s="120"/>
      <c r="I1141"/>
    </row>
    <row r="1142" spans="1:9" ht="12.75">
      <c r="A1142"/>
      <c r="B1142"/>
      <c r="C1142"/>
      <c r="D1142"/>
      <c r="E1142"/>
      <c r="F1142"/>
      <c r="G1142" s="120"/>
      <c r="H1142" s="120"/>
      <c r="I1142"/>
    </row>
    <row r="1143" spans="1:9" ht="12.75">
      <c r="A1143"/>
      <c r="B1143"/>
      <c r="C1143"/>
      <c r="D1143"/>
      <c r="E1143"/>
      <c r="F1143"/>
      <c r="G1143" s="120"/>
      <c r="H1143" s="120"/>
      <c r="I1143"/>
    </row>
    <row r="1144" spans="1:9" ht="12.75">
      <c r="A1144"/>
      <c r="B1144"/>
      <c r="C1144"/>
      <c r="D1144"/>
      <c r="E1144"/>
      <c r="F1144"/>
      <c r="G1144" s="120"/>
      <c r="H1144" s="120"/>
      <c r="I1144"/>
    </row>
    <row r="1145" spans="1:9" ht="12.75">
      <c r="A1145"/>
      <c r="B1145"/>
      <c r="C1145"/>
      <c r="D1145"/>
      <c r="E1145"/>
      <c r="F1145"/>
      <c r="G1145" s="120"/>
      <c r="H1145" s="120"/>
      <c r="I1145"/>
    </row>
    <row r="1146" spans="1:9" ht="12.75">
      <c r="A1146"/>
      <c r="B1146"/>
      <c r="C1146"/>
      <c r="D1146"/>
      <c r="E1146"/>
      <c r="F1146"/>
      <c r="G1146" s="120"/>
      <c r="H1146" s="120"/>
      <c r="I1146"/>
    </row>
    <row r="1147" spans="1:9" ht="12.75">
      <c r="A1147"/>
      <c r="B1147"/>
      <c r="C1147"/>
      <c r="D1147"/>
      <c r="E1147"/>
      <c r="F1147"/>
      <c r="G1147" s="120"/>
      <c r="H1147" s="120"/>
      <c r="I1147"/>
    </row>
    <row r="1148" spans="1:9" ht="12.75">
      <c r="A1148"/>
      <c r="B1148"/>
      <c r="C1148"/>
      <c r="D1148"/>
      <c r="E1148"/>
      <c r="F1148"/>
      <c r="G1148" s="120"/>
      <c r="H1148" s="120"/>
      <c r="I1148"/>
    </row>
    <row r="1149" spans="1:9" ht="12.75">
      <c r="A1149"/>
      <c r="B1149"/>
      <c r="C1149"/>
      <c r="D1149"/>
      <c r="E1149"/>
      <c r="F1149"/>
      <c r="G1149" s="120"/>
      <c r="H1149" s="120"/>
      <c r="I1149"/>
    </row>
    <row r="1150" spans="1:9" ht="12.75">
      <c r="A1150"/>
      <c r="B1150"/>
      <c r="C1150"/>
      <c r="D1150"/>
      <c r="E1150"/>
      <c r="F1150"/>
      <c r="G1150" s="120"/>
      <c r="H1150" s="120"/>
      <c r="I1150"/>
    </row>
    <row r="1151" spans="1:9" ht="12.75">
      <c r="A1151"/>
      <c r="B1151"/>
      <c r="C1151"/>
      <c r="D1151"/>
      <c r="E1151"/>
      <c r="F1151"/>
      <c r="G1151" s="120"/>
      <c r="H1151" s="120"/>
      <c r="I1151"/>
    </row>
    <row r="1152" spans="1:9" ht="12.75">
      <c r="A1152"/>
      <c r="B1152"/>
      <c r="C1152"/>
      <c r="D1152"/>
      <c r="E1152"/>
      <c r="F1152"/>
      <c r="G1152" s="120"/>
      <c r="H1152" s="120"/>
      <c r="I1152"/>
    </row>
    <row r="1153" spans="1:9" ht="12.75">
      <c r="A1153"/>
      <c r="B1153"/>
      <c r="C1153"/>
      <c r="D1153"/>
      <c r="E1153"/>
      <c r="F1153"/>
      <c r="G1153" s="120"/>
      <c r="H1153" s="120"/>
      <c r="I1153"/>
    </row>
    <row r="1154" spans="1:9" ht="12.75">
      <c r="A1154"/>
      <c r="B1154"/>
      <c r="C1154"/>
      <c r="D1154"/>
      <c r="E1154"/>
      <c r="F1154"/>
      <c r="G1154" s="120"/>
      <c r="H1154" s="120"/>
      <c r="I1154"/>
    </row>
    <row r="1155" spans="1:9" ht="12.75">
      <c r="A1155"/>
      <c r="B1155"/>
      <c r="C1155"/>
      <c r="D1155"/>
      <c r="E1155"/>
      <c r="F1155"/>
      <c r="G1155" s="120"/>
      <c r="H1155" s="120"/>
      <c r="I1155"/>
    </row>
    <row r="1156" spans="1:9" ht="12.75">
      <c r="A1156"/>
      <c r="B1156"/>
      <c r="C1156"/>
      <c r="D1156"/>
      <c r="E1156"/>
      <c r="F1156"/>
      <c r="G1156" s="120"/>
      <c r="H1156" s="120"/>
      <c r="I1156"/>
    </row>
    <row r="1157" spans="1:9" ht="12.75">
      <c r="A1157"/>
      <c r="B1157"/>
      <c r="C1157"/>
      <c r="D1157"/>
      <c r="E1157"/>
      <c r="F1157"/>
      <c r="G1157" s="120"/>
      <c r="H1157" s="120"/>
      <c r="I1157"/>
    </row>
    <row r="1158" spans="1:9" ht="12.75">
      <c r="A1158"/>
      <c r="B1158"/>
      <c r="C1158"/>
      <c r="D1158"/>
      <c r="E1158"/>
      <c r="F1158"/>
      <c r="G1158" s="120"/>
      <c r="H1158" s="120"/>
      <c r="I1158"/>
    </row>
    <row r="1159" spans="1:9" ht="12.75">
      <c r="A1159"/>
      <c r="B1159"/>
      <c r="C1159"/>
      <c r="D1159"/>
      <c r="E1159"/>
      <c r="F1159"/>
      <c r="G1159" s="120"/>
      <c r="H1159" s="120"/>
      <c r="I1159"/>
    </row>
    <row r="1160" spans="1:9" ht="12.75">
      <c r="A1160"/>
      <c r="B1160"/>
      <c r="C1160"/>
      <c r="D1160"/>
      <c r="E1160"/>
      <c r="F1160"/>
      <c r="G1160" s="120"/>
      <c r="H1160" s="120"/>
      <c r="I1160"/>
    </row>
    <row r="1161" spans="1:9" ht="12.75">
      <c r="A1161"/>
      <c r="B1161"/>
      <c r="C1161"/>
      <c r="D1161"/>
      <c r="E1161"/>
      <c r="F1161"/>
      <c r="G1161" s="120"/>
      <c r="H1161" s="120"/>
      <c r="I1161"/>
    </row>
    <row r="1162" spans="1:9" ht="12.75">
      <c r="A1162"/>
      <c r="B1162"/>
      <c r="C1162"/>
      <c r="D1162"/>
      <c r="E1162"/>
      <c r="F1162"/>
      <c r="G1162" s="120"/>
      <c r="H1162" s="120"/>
      <c r="I1162"/>
    </row>
    <row r="1163" spans="1:9" ht="12.75">
      <c r="A1163"/>
      <c r="B1163"/>
      <c r="C1163"/>
      <c r="D1163"/>
      <c r="E1163"/>
      <c r="F1163"/>
      <c r="G1163" s="120"/>
      <c r="H1163" s="120"/>
      <c r="I1163"/>
    </row>
    <row r="1164" spans="1:9" ht="12.75">
      <c r="A1164"/>
      <c r="B1164"/>
      <c r="C1164"/>
      <c r="D1164"/>
      <c r="E1164"/>
      <c r="F1164"/>
      <c r="G1164" s="120"/>
      <c r="H1164" s="120"/>
      <c r="I1164"/>
    </row>
    <row r="1165" spans="1:9" ht="12.75">
      <c r="A1165"/>
      <c r="B1165"/>
      <c r="C1165"/>
      <c r="D1165"/>
      <c r="E1165"/>
      <c r="F1165"/>
      <c r="G1165" s="120"/>
      <c r="H1165" s="120"/>
      <c r="I1165"/>
    </row>
    <row r="1166" spans="1:9" ht="12.75">
      <c r="A1166"/>
      <c r="B1166"/>
      <c r="C1166"/>
      <c r="D1166"/>
      <c r="E1166"/>
      <c r="F1166"/>
      <c r="G1166" s="120"/>
      <c r="H1166" s="120"/>
      <c r="I1166"/>
    </row>
    <row r="1167" spans="1:9" ht="12.75">
      <c r="A1167"/>
      <c r="B1167"/>
      <c r="C1167"/>
      <c r="D1167"/>
      <c r="E1167"/>
      <c r="F1167"/>
      <c r="G1167" s="120"/>
      <c r="H1167" s="120"/>
      <c r="I1167"/>
    </row>
    <row r="1168" spans="1:9" ht="12.75">
      <c r="A1168"/>
      <c r="B1168"/>
      <c r="C1168"/>
      <c r="D1168"/>
      <c r="E1168"/>
      <c r="F1168"/>
      <c r="G1168" s="120"/>
      <c r="H1168" s="120"/>
      <c r="I1168"/>
    </row>
    <row r="1169" spans="1:9" ht="12.75">
      <c r="A1169"/>
      <c r="B1169"/>
      <c r="C1169"/>
      <c r="D1169"/>
      <c r="E1169"/>
      <c r="F1169"/>
      <c r="G1169" s="120"/>
      <c r="H1169" s="120"/>
      <c r="I1169"/>
    </row>
    <row r="1170" spans="1:9" ht="12.75">
      <c r="A1170"/>
      <c r="B1170"/>
      <c r="C1170"/>
      <c r="D1170"/>
      <c r="E1170"/>
      <c r="F1170"/>
      <c r="G1170" s="120"/>
      <c r="H1170" s="120"/>
      <c r="I1170"/>
    </row>
    <row r="1171" spans="1:9" ht="12.75">
      <c r="A1171"/>
      <c r="B1171"/>
      <c r="C1171"/>
      <c r="D1171"/>
      <c r="E1171"/>
      <c r="F1171"/>
      <c r="G1171" s="120"/>
      <c r="H1171" s="120"/>
      <c r="I1171"/>
    </row>
    <row r="1172" spans="1:9" ht="12.75">
      <c r="A1172"/>
      <c r="B1172"/>
      <c r="C1172"/>
      <c r="D1172"/>
      <c r="E1172"/>
      <c r="F1172"/>
      <c r="G1172" s="120"/>
      <c r="H1172" s="120"/>
      <c r="I1172"/>
    </row>
    <row r="1173" spans="1:9" ht="12.75">
      <c r="A1173"/>
      <c r="B1173"/>
      <c r="C1173"/>
      <c r="D1173"/>
      <c r="E1173"/>
      <c r="F1173"/>
      <c r="G1173" s="120"/>
      <c r="H1173" s="120"/>
      <c r="I1173"/>
    </row>
    <row r="1174" spans="1:9" ht="12.75">
      <c r="A1174"/>
      <c r="B1174"/>
      <c r="C1174"/>
      <c r="D1174"/>
      <c r="E1174"/>
      <c r="F1174"/>
      <c r="G1174" s="120"/>
      <c r="H1174" s="120"/>
      <c r="I1174"/>
    </row>
    <row r="1175" spans="1:9" ht="12.75">
      <c r="A1175"/>
      <c r="B1175"/>
      <c r="C1175"/>
      <c r="D1175"/>
      <c r="E1175"/>
      <c r="F1175"/>
      <c r="G1175" s="120"/>
      <c r="H1175" s="120"/>
      <c r="I1175"/>
    </row>
    <row r="1176" spans="1:9" ht="12.75">
      <c r="A1176"/>
      <c r="B1176"/>
      <c r="C1176"/>
      <c r="D1176"/>
      <c r="E1176"/>
      <c r="F1176"/>
      <c r="G1176" s="120"/>
      <c r="H1176" s="120"/>
      <c r="I1176"/>
    </row>
    <row r="1177" spans="1:9" ht="12.75">
      <c r="A1177"/>
      <c r="B1177"/>
      <c r="C1177"/>
      <c r="D1177"/>
      <c r="E1177"/>
      <c r="F1177"/>
      <c r="G1177" s="120"/>
      <c r="H1177" s="120"/>
      <c r="I1177"/>
    </row>
    <row r="1178" spans="1:9" ht="12.75">
      <c r="A1178"/>
      <c r="B1178"/>
      <c r="C1178"/>
      <c r="D1178"/>
      <c r="E1178"/>
      <c r="F1178"/>
      <c r="G1178" s="120"/>
      <c r="H1178" s="120"/>
      <c r="I1178"/>
    </row>
    <row r="1179" spans="1:9" ht="12.75">
      <c r="A1179"/>
      <c r="B1179"/>
      <c r="C1179"/>
      <c r="D1179"/>
      <c r="E1179"/>
      <c r="F1179"/>
      <c r="G1179" s="120"/>
      <c r="H1179" s="120"/>
      <c r="I1179"/>
    </row>
    <row r="1180" spans="1:9" ht="12.75">
      <c r="A1180"/>
      <c r="B1180"/>
      <c r="C1180"/>
      <c r="D1180"/>
      <c r="E1180"/>
      <c r="F1180"/>
      <c r="G1180" s="120"/>
      <c r="H1180" s="120"/>
      <c r="I1180"/>
    </row>
    <row r="1181" spans="1:9" ht="12.75">
      <c r="A1181"/>
      <c r="B1181"/>
      <c r="C1181"/>
      <c r="D1181"/>
      <c r="E1181"/>
      <c r="F1181"/>
      <c r="G1181" s="120"/>
      <c r="H1181" s="120"/>
      <c r="I1181"/>
    </row>
    <row r="1182" spans="1:9" ht="12.75">
      <c r="A1182"/>
      <c r="B1182"/>
      <c r="C1182"/>
      <c r="D1182"/>
      <c r="E1182"/>
      <c r="F1182"/>
      <c r="G1182" s="120"/>
      <c r="H1182" s="120"/>
      <c r="I1182"/>
    </row>
    <row r="1183" spans="1:9" ht="12.75">
      <c r="A1183"/>
      <c r="B1183"/>
      <c r="C1183"/>
      <c r="D1183"/>
      <c r="E1183"/>
      <c r="F1183"/>
      <c r="G1183" s="120"/>
      <c r="H1183" s="120"/>
      <c r="I1183"/>
    </row>
    <row r="1184" spans="1:9" ht="12.75">
      <c r="A1184"/>
      <c r="B1184"/>
      <c r="C1184"/>
      <c r="D1184"/>
      <c r="E1184"/>
      <c r="F1184"/>
      <c r="G1184" s="120"/>
      <c r="H1184" s="120"/>
      <c r="I1184"/>
    </row>
    <row r="1185" spans="1:9" ht="12.75">
      <c r="A1185"/>
      <c r="B1185"/>
      <c r="C1185"/>
      <c r="D1185"/>
      <c r="E1185"/>
      <c r="F1185"/>
      <c r="G1185" s="120"/>
      <c r="H1185" s="120"/>
      <c r="I1185"/>
    </row>
    <row r="1186" spans="1:9" ht="12.75">
      <c r="A1186"/>
      <c r="B1186"/>
      <c r="C1186"/>
      <c r="D1186"/>
      <c r="E1186"/>
      <c r="F1186"/>
      <c r="G1186" s="120"/>
      <c r="H1186" s="120"/>
      <c r="I1186"/>
    </row>
    <row r="1187" spans="1:9" ht="12.75">
      <c r="A1187"/>
      <c r="B1187"/>
      <c r="C1187"/>
      <c r="D1187"/>
      <c r="E1187"/>
      <c r="F1187"/>
      <c r="G1187" s="120"/>
      <c r="H1187" s="120"/>
      <c r="I1187"/>
    </row>
    <row r="1188" spans="1:9" ht="12.75">
      <c r="A1188"/>
      <c r="B1188"/>
      <c r="C1188"/>
      <c r="D1188"/>
      <c r="E1188"/>
      <c r="F1188"/>
      <c r="G1188" s="120"/>
      <c r="H1188" s="120"/>
      <c r="I1188"/>
    </row>
    <row r="1189" spans="1:9" ht="12.75">
      <c r="A1189"/>
      <c r="B1189"/>
      <c r="C1189"/>
      <c r="D1189"/>
      <c r="E1189"/>
      <c r="F1189"/>
      <c r="G1189" s="120"/>
      <c r="H1189" s="120"/>
      <c r="I1189"/>
    </row>
    <row r="1190" spans="1:9" ht="12.75">
      <c r="A1190"/>
      <c r="B1190"/>
      <c r="C1190"/>
      <c r="D1190"/>
      <c r="E1190"/>
      <c r="F1190"/>
      <c r="G1190" s="120"/>
      <c r="H1190" s="120"/>
      <c r="I1190"/>
    </row>
    <row r="1191" spans="1:9" ht="12.75">
      <c r="A1191"/>
      <c r="B1191"/>
      <c r="C1191"/>
      <c r="D1191"/>
      <c r="E1191"/>
      <c r="F1191"/>
      <c r="G1191" s="120"/>
      <c r="H1191" s="120"/>
      <c r="I1191"/>
    </row>
    <row r="1192" spans="1:9" ht="12.75">
      <c r="A1192"/>
      <c r="B1192"/>
      <c r="C1192"/>
      <c r="D1192"/>
      <c r="E1192"/>
      <c r="F1192"/>
      <c r="G1192" s="120"/>
      <c r="H1192" s="120"/>
      <c r="I1192"/>
    </row>
    <row r="1193" spans="1:9" ht="12.75">
      <c r="A1193"/>
      <c r="B1193"/>
      <c r="C1193"/>
      <c r="D1193"/>
      <c r="E1193"/>
      <c r="F1193"/>
      <c r="G1193" s="120"/>
      <c r="H1193" s="120"/>
      <c r="I1193"/>
    </row>
    <row r="1194" spans="1:9" ht="12.75">
      <c r="A1194"/>
      <c r="B1194"/>
      <c r="C1194"/>
      <c r="D1194"/>
      <c r="E1194"/>
      <c r="F1194"/>
      <c r="G1194" s="120"/>
      <c r="H1194" s="120"/>
      <c r="I1194"/>
    </row>
    <row r="1195" spans="1:9" ht="12.75">
      <c r="A1195"/>
      <c r="B1195"/>
      <c r="C1195"/>
      <c r="D1195"/>
      <c r="E1195"/>
      <c r="F1195"/>
      <c r="G1195" s="120"/>
      <c r="H1195" s="120"/>
      <c r="I1195"/>
    </row>
    <row r="1196" spans="1:9" ht="12.75">
      <c r="A1196"/>
      <c r="B1196"/>
      <c r="C1196"/>
      <c r="D1196"/>
      <c r="E1196"/>
      <c r="F1196"/>
      <c r="G1196" s="120"/>
      <c r="H1196" s="120"/>
      <c r="I1196"/>
    </row>
    <row r="1197" spans="1:9" ht="12.75">
      <c r="A1197"/>
      <c r="B1197"/>
      <c r="C1197"/>
      <c r="D1197"/>
      <c r="E1197"/>
      <c r="F1197"/>
      <c r="G1197" s="120"/>
      <c r="H1197" s="120"/>
      <c r="I1197"/>
    </row>
    <row r="1198" spans="1:9" ht="12.75">
      <c r="A1198"/>
      <c r="B1198"/>
      <c r="C1198"/>
      <c r="D1198"/>
      <c r="E1198"/>
      <c r="F1198"/>
      <c r="G1198" s="120"/>
      <c r="H1198" s="120"/>
      <c r="I1198"/>
    </row>
    <row r="1199" spans="1:9" ht="12.75">
      <c r="A1199"/>
      <c r="B1199"/>
      <c r="C1199"/>
      <c r="D1199"/>
      <c r="E1199"/>
      <c r="F1199"/>
      <c r="G1199" s="120"/>
      <c r="H1199" s="120"/>
      <c r="I1199"/>
    </row>
    <row r="1200" spans="1:9" ht="12.75">
      <c r="A1200"/>
      <c r="B1200"/>
      <c r="C1200"/>
      <c r="D1200"/>
      <c r="E1200"/>
      <c r="F1200"/>
      <c r="G1200" s="120"/>
      <c r="H1200" s="120"/>
      <c r="I1200"/>
    </row>
    <row r="1201" spans="1:9" ht="12.75">
      <c r="A1201"/>
      <c r="B1201"/>
      <c r="C1201"/>
      <c r="D1201"/>
      <c r="E1201"/>
      <c r="F1201"/>
      <c r="G1201" s="120"/>
      <c r="H1201" s="120"/>
      <c r="I1201"/>
    </row>
    <row r="1202" spans="1:9" ht="12.75">
      <c r="A1202"/>
      <c r="B1202"/>
      <c r="C1202"/>
      <c r="D1202"/>
      <c r="E1202"/>
      <c r="F1202"/>
      <c r="G1202" s="120"/>
      <c r="H1202" s="120"/>
      <c r="I1202"/>
    </row>
    <row r="1203" spans="1:9" ht="12.75">
      <c r="A1203"/>
      <c r="B1203"/>
      <c r="C1203"/>
      <c r="D1203"/>
      <c r="E1203"/>
      <c r="F1203"/>
      <c r="G1203" s="120"/>
      <c r="H1203" s="120"/>
      <c r="I1203"/>
    </row>
    <row r="1204" spans="1:9" ht="12.75">
      <c r="A1204"/>
      <c r="B1204"/>
      <c r="C1204"/>
      <c r="D1204"/>
      <c r="E1204"/>
      <c r="F1204"/>
      <c r="G1204" s="120"/>
      <c r="H1204" s="120"/>
      <c r="I1204"/>
    </row>
    <row r="1205" spans="1:9" ht="12.75">
      <c r="A1205"/>
      <c r="B1205"/>
      <c r="C1205"/>
      <c r="D1205"/>
      <c r="E1205"/>
      <c r="F1205"/>
      <c r="G1205" s="120"/>
      <c r="H1205" s="120"/>
      <c r="I1205"/>
    </row>
    <row r="1206" spans="1:9" ht="12.75">
      <c r="A1206"/>
      <c r="B1206"/>
      <c r="C1206"/>
      <c r="D1206"/>
      <c r="E1206"/>
      <c r="F1206"/>
      <c r="G1206" s="120"/>
      <c r="H1206" s="120"/>
      <c r="I1206"/>
    </row>
    <row r="1207" spans="1:9" ht="12.75">
      <c r="A1207"/>
      <c r="B1207"/>
      <c r="C1207"/>
      <c r="D1207"/>
      <c r="E1207"/>
      <c r="F1207"/>
      <c r="G1207" s="120"/>
      <c r="H1207" s="120"/>
      <c r="I1207"/>
    </row>
    <row r="1208" spans="1:9" ht="12.75">
      <c r="A1208"/>
      <c r="B1208"/>
      <c r="C1208"/>
      <c r="D1208"/>
      <c r="E1208"/>
      <c r="F1208"/>
      <c r="G1208" s="120"/>
      <c r="H1208" s="120"/>
      <c r="I1208"/>
    </row>
    <row r="1209" spans="1:9" ht="12.75">
      <c r="A1209"/>
      <c r="B1209"/>
      <c r="C1209"/>
      <c r="D1209"/>
      <c r="E1209"/>
      <c r="F1209"/>
      <c r="G1209" s="120"/>
      <c r="H1209" s="120"/>
      <c r="I1209"/>
    </row>
    <row r="1210" spans="1:9" ht="12.75">
      <c r="A1210"/>
      <c r="B1210"/>
      <c r="C1210"/>
      <c r="D1210"/>
      <c r="E1210"/>
      <c r="F1210"/>
      <c r="G1210" s="120"/>
      <c r="H1210" s="120"/>
      <c r="I1210"/>
    </row>
    <row r="1211" spans="1:9" ht="12.75">
      <c r="A1211"/>
      <c r="B1211"/>
      <c r="C1211"/>
      <c r="D1211"/>
      <c r="E1211"/>
      <c r="F1211"/>
      <c r="G1211" s="120"/>
      <c r="H1211" s="120"/>
      <c r="I1211"/>
    </row>
    <row r="1212" spans="1:9" ht="12.75">
      <c r="A1212"/>
      <c r="B1212"/>
      <c r="C1212"/>
      <c r="D1212"/>
      <c r="E1212"/>
      <c r="F1212"/>
      <c r="G1212" s="120"/>
      <c r="H1212" s="120"/>
      <c r="I1212"/>
    </row>
    <row r="1213" spans="1:9" ht="12.75">
      <c r="A1213"/>
      <c r="B1213"/>
      <c r="C1213"/>
      <c r="D1213"/>
      <c r="E1213"/>
      <c r="F1213"/>
      <c r="G1213" s="120"/>
      <c r="H1213" s="120"/>
      <c r="I1213"/>
    </row>
    <row r="1214" spans="1:9" ht="12.75">
      <c r="A1214"/>
      <c r="B1214"/>
      <c r="C1214"/>
      <c r="D1214"/>
      <c r="E1214"/>
      <c r="F1214"/>
      <c r="G1214" s="120"/>
      <c r="H1214" s="120"/>
      <c r="I1214"/>
    </row>
    <row r="1215" spans="1:9" ht="12.75">
      <c r="A1215"/>
      <c r="B1215"/>
      <c r="C1215"/>
      <c r="D1215"/>
      <c r="E1215"/>
      <c r="F1215"/>
      <c r="G1215" s="120"/>
      <c r="H1215" s="120"/>
      <c r="I1215"/>
    </row>
    <row r="1216" spans="1:9" ht="12.75">
      <c r="A1216"/>
      <c r="B1216"/>
      <c r="C1216"/>
      <c r="D1216"/>
      <c r="E1216"/>
      <c r="F1216"/>
      <c r="G1216" s="120"/>
      <c r="H1216" s="120"/>
      <c r="I1216"/>
    </row>
    <row r="1217" spans="1:9" ht="12.75">
      <c r="A1217"/>
      <c r="B1217"/>
      <c r="C1217"/>
      <c r="D1217"/>
      <c r="E1217"/>
      <c r="F1217"/>
      <c r="G1217" s="120"/>
      <c r="H1217" s="120"/>
      <c r="I1217"/>
    </row>
    <row r="1218" spans="1:9" ht="12.75">
      <c r="A1218"/>
      <c r="B1218"/>
      <c r="C1218"/>
      <c r="D1218"/>
      <c r="E1218"/>
      <c r="F1218"/>
      <c r="G1218" s="120"/>
      <c r="H1218" s="120"/>
      <c r="I1218"/>
    </row>
    <row r="1219" spans="1:9" ht="12.75">
      <c r="A1219"/>
      <c r="B1219"/>
      <c r="C1219"/>
      <c r="D1219"/>
      <c r="E1219"/>
      <c r="F1219"/>
      <c r="G1219" s="120"/>
      <c r="H1219" s="120"/>
      <c r="I1219"/>
    </row>
    <row r="1220" spans="1:9" ht="12.75">
      <c r="A1220"/>
      <c r="B1220"/>
      <c r="C1220"/>
      <c r="D1220"/>
      <c r="E1220"/>
      <c r="F1220"/>
      <c r="G1220" s="120"/>
      <c r="H1220" s="120"/>
      <c r="I1220"/>
    </row>
    <row r="1221" spans="1:9" ht="12.75">
      <c r="A1221"/>
      <c r="B1221"/>
      <c r="C1221"/>
      <c r="D1221"/>
      <c r="E1221"/>
      <c r="F1221"/>
      <c r="G1221" s="120"/>
      <c r="H1221" s="120"/>
      <c r="I1221"/>
    </row>
    <row r="1222" spans="1:9" ht="12.75">
      <c r="A1222"/>
      <c r="B1222"/>
      <c r="C1222"/>
      <c r="D1222"/>
      <c r="E1222"/>
      <c r="F1222"/>
      <c r="G1222" s="120"/>
      <c r="H1222" s="120"/>
      <c r="I1222"/>
    </row>
    <row r="1223" spans="1:9" ht="12.75">
      <c r="A1223"/>
      <c r="B1223"/>
      <c r="C1223"/>
      <c r="D1223"/>
      <c r="E1223"/>
      <c r="F1223"/>
      <c r="G1223" s="120"/>
      <c r="H1223" s="120"/>
      <c r="I1223"/>
    </row>
    <row r="1224" spans="1:9" ht="12.75">
      <c r="A1224"/>
      <c r="B1224"/>
      <c r="C1224"/>
      <c r="D1224"/>
      <c r="E1224"/>
      <c r="F1224"/>
      <c r="G1224" s="120"/>
      <c r="H1224" s="120"/>
      <c r="I1224"/>
    </row>
    <row r="1225" spans="1:9" ht="12.75">
      <c r="A1225"/>
      <c r="B1225"/>
      <c r="C1225"/>
      <c r="D1225"/>
      <c r="E1225"/>
      <c r="F1225"/>
      <c r="G1225" s="120"/>
      <c r="H1225" s="120"/>
      <c r="I1225"/>
    </row>
    <row r="1226" spans="1:9" ht="12.75">
      <c r="A1226"/>
      <c r="B1226"/>
      <c r="C1226"/>
      <c r="D1226"/>
      <c r="E1226"/>
      <c r="F1226"/>
      <c r="G1226" s="120"/>
      <c r="H1226" s="120"/>
      <c r="I1226"/>
    </row>
    <row r="1227" spans="1:9" ht="12.75">
      <c r="A1227"/>
      <c r="B1227"/>
      <c r="C1227"/>
      <c r="D1227"/>
      <c r="E1227"/>
      <c r="F1227"/>
      <c r="G1227" s="120"/>
      <c r="H1227" s="120"/>
      <c r="I1227"/>
    </row>
    <row r="1228" spans="1:9" ht="12.75">
      <c r="A1228"/>
      <c r="B1228"/>
      <c r="C1228"/>
      <c r="D1228"/>
      <c r="E1228"/>
      <c r="F1228"/>
      <c r="G1228" s="120"/>
      <c r="H1228" s="120"/>
      <c r="I1228"/>
    </row>
    <row r="1229" spans="1:9" ht="12.75">
      <c r="A1229"/>
      <c r="B1229"/>
      <c r="C1229"/>
      <c r="D1229"/>
      <c r="E1229"/>
      <c r="F1229"/>
      <c r="G1229" s="120"/>
      <c r="H1229" s="120"/>
      <c r="I1229"/>
    </row>
    <row r="1230" spans="1:9" ht="12.75">
      <c r="A1230"/>
      <c r="B1230"/>
      <c r="C1230"/>
      <c r="D1230"/>
      <c r="E1230"/>
      <c r="F1230"/>
      <c r="G1230" s="120"/>
      <c r="H1230" s="120"/>
      <c r="I1230"/>
    </row>
    <row r="1231" spans="1:9" ht="12.75">
      <c r="A1231"/>
      <c r="B1231"/>
      <c r="C1231"/>
      <c r="D1231"/>
      <c r="E1231"/>
      <c r="F1231"/>
      <c r="G1231" s="120"/>
      <c r="H1231" s="120"/>
      <c r="I1231"/>
    </row>
    <row r="1232" spans="1:9" ht="12.75">
      <c r="A1232"/>
      <c r="B1232"/>
      <c r="C1232"/>
      <c r="D1232"/>
      <c r="E1232"/>
      <c r="F1232"/>
      <c r="G1232" s="120"/>
      <c r="H1232" s="120"/>
      <c r="I1232"/>
    </row>
    <row r="1233" spans="1:9" ht="12.75">
      <c r="A1233"/>
      <c r="B1233"/>
      <c r="C1233"/>
      <c r="D1233"/>
      <c r="E1233"/>
      <c r="F1233"/>
      <c r="G1233" s="120"/>
      <c r="H1233" s="120"/>
      <c r="I1233"/>
    </row>
    <row r="1234" spans="1:9" ht="12.75">
      <c r="A1234"/>
      <c r="B1234"/>
      <c r="C1234"/>
      <c r="D1234"/>
      <c r="E1234"/>
      <c r="F1234"/>
      <c r="G1234" s="120"/>
      <c r="H1234" s="120"/>
      <c r="I1234"/>
    </row>
    <row r="1235" spans="1:9" ht="12.75">
      <c r="A1235"/>
      <c r="B1235"/>
      <c r="C1235"/>
      <c r="D1235"/>
      <c r="E1235"/>
      <c r="F1235"/>
      <c r="G1235" s="120"/>
      <c r="H1235" s="120"/>
      <c r="I1235"/>
    </row>
    <row r="1236" spans="1:9" ht="12.75">
      <c r="A1236"/>
      <c r="B1236"/>
      <c r="C1236"/>
      <c r="D1236"/>
      <c r="E1236"/>
      <c r="F1236"/>
      <c r="G1236" s="120"/>
      <c r="H1236" s="120"/>
      <c r="I1236"/>
    </row>
    <row r="1237" spans="1:9" ht="12.75">
      <c r="A1237"/>
      <c r="B1237"/>
      <c r="C1237"/>
      <c r="D1237"/>
      <c r="E1237"/>
      <c r="F1237"/>
      <c r="G1237" s="120"/>
      <c r="H1237" s="120"/>
      <c r="I1237"/>
    </row>
    <row r="1238" spans="1:9" ht="12.75">
      <c r="A1238"/>
      <c r="B1238"/>
      <c r="C1238"/>
      <c r="D1238"/>
      <c r="E1238"/>
      <c r="F1238"/>
      <c r="G1238" s="120"/>
      <c r="H1238" s="120"/>
      <c r="I1238"/>
    </row>
    <row r="1239" spans="1:9" ht="12.75">
      <c r="A1239"/>
      <c r="B1239"/>
      <c r="C1239"/>
      <c r="D1239"/>
      <c r="E1239"/>
      <c r="F1239"/>
      <c r="G1239" s="120"/>
      <c r="H1239" s="120"/>
      <c r="I1239"/>
    </row>
    <row r="1240" spans="1:9" ht="12.75">
      <c r="A1240"/>
      <c r="B1240"/>
      <c r="C1240"/>
      <c r="D1240"/>
      <c r="E1240"/>
      <c r="F1240"/>
      <c r="G1240" s="120"/>
      <c r="H1240" s="120"/>
      <c r="I1240"/>
    </row>
    <row r="1241" spans="1:9" ht="12.75">
      <c r="A1241"/>
      <c r="B1241"/>
      <c r="C1241"/>
      <c r="D1241"/>
      <c r="E1241"/>
      <c r="F1241"/>
      <c r="G1241" s="120"/>
      <c r="H1241" s="120"/>
      <c r="I1241"/>
    </row>
    <row r="1242" spans="1:9" ht="12.75">
      <c r="A1242"/>
      <c r="B1242"/>
      <c r="C1242"/>
      <c r="D1242"/>
      <c r="E1242"/>
      <c r="F1242"/>
      <c r="G1242" s="120"/>
      <c r="H1242" s="120"/>
      <c r="I1242"/>
    </row>
    <row r="1243" spans="1:9" ht="12.75">
      <c r="A1243"/>
      <c r="B1243"/>
      <c r="C1243"/>
      <c r="D1243"/>
      <c r="E1243"/>
      <c r="F1243"/>
      <c r="G1243" s="120"/>
      <c r="H1243" s="120"/>
      <c r="I1243"/>
    </row>
    <row r="1244" spans="1:9" ht="12.75">
      <c r="A1244"/>
      <c r="B1244"/>
      <c r="C1244"/>
      <c r="D1244"/>
      <c r="E1244"/>
      <c r="F1244"/>
      <c r="G1244" s="120"/>
      <c r="H1244" s="120"/>
      <c r="I1244"/>
    </row>
    <row r="1245" spans="1:9" ht="12.75">
      <c r="A1245"/>
      <c r="B1245"/>
      <c r="C1245"/>
      <c r="D1245"/>
      <c r="E1245"/>
      <c r="F1245"/>
      <c r="G1245" s="120"/>
      <c r="H1245" s="120"/>
      <c r="I1245"/>
    </row>
    <row r="1246" spans="1:9" ht="12.75">
      <c r="A1246"/>
      <c r="B1246"/>
      <c r="C1246"/>
      <c r="D1246"/>
      <c r="E1246"/>
      <c r="F1246"/>
      <c r="G1246" s="120"/>
      <c r="H1246" s="120"/>
      <c r="I1246"/>
    </row>
    <row r="1247" spans="1:9" ht="12.75">
      <c r="A1247"/>
      <c r="B1247"/>
      <c r="C1247"/>
      <c r="D1247"/>
      <c r="E1247"/>
      <c r="F1247"/>
      <c r="G1247" s="120"/>
      <c r="H1247" s="120"/>
      <c r="I1247"/>
    </row>
    <row r="1248" spans="1:9" ht="12.75">
      <c r="A1248"/>
      <c r="B1248"/>
      <c r="C1248"/>
      <c r="D1248"/>
      <c r="E1248"/>
      <c r="F1248"/>
      <c r="G1248" s="120"/>
      <c r="H1248" s="120"/>
      <c r="I1248"/>
    </row>
    <row r="1249" spans="1:9" ht="12.75">
      <c r="A1249"/>
      <c r="B1249"/>
      <c r="C1249"/>
      <c r="D1249"/>
      <c r="E1249"/>
      <c r="F1249"/>
      <c r="G1249" s="120"/>
      <c r="H1249" s="120"/>
      <c r="I1249"/>
    </row>
    <row r="1250" spans="1:9" ht="12.75">
      <c r="A1250"/>
      <c r="B1250"/>
      <c r="C1250"/>
      <c r="D1250"/>
      <c r="E1250"/>
      <c r="F1250"/>
      <c r="G1250" s="120"/>
      <c r="H1250" s="120"/>
      <c r="I1250"/>
    </row>
    <row r="1251" spans="1:9" ht="12.75">
      <c r="A1251"/>
      <c r="B1251"/>
      <c r="C1251"/>
      <c r="D1251"/>
      <c r="E1251"/>
      <c r="F1251"/>
      <c r="G1251" s="120"/>
      <c r="H1251" s="120"/>
      <c r="I1251"/>
    </row>
    <row r="1252" spans="1:9" ht="12.75">
      <c r="A1252"/>
      <c r="B1252"/>
      <c r="C1252"/>
      <c r="D1252"/>
      <c r="E1252"/>
      <c r="F1252"/>
      <c r="G1252" s="120"/>
      <c r="H1252" s="120"/>
      <c r="I1252"/>
    </row>
    <row r="1253" spans="1:9" ht="12.75">
      <c r="A1253"/>
      <c r="B1253"/>
      <c r="C1253"/>
      <c r="D1253"/>
      <c r="E1253"/>
      <c r="F1253"/>
      <c r="G1253" s="120"/>
      <c r="H1253" s="120"/>
      <c r="I1253"/>
    </row>
    <row r="1254" spans="1:9" ht="12.75">
      <c r="A1254"/>
      <c r="B1254"/>
      <c r="C1254"/>
      <c r="D1254"/>
      <c r="E1254"/>
      <c r="F1254"/>
      <c r="G1254" s="120"/>
      <c r="H1254" s="120"/>
      <c r="I1254"/>
    </row>
    <row r="1255" spans="1:9" ht="12.75">
      <c r="A1255"/>
      <c r="B1255"/>
      <c r="C1255"/>
      <c r="D1255"/>
      <c r="E1255"/>
      <c r="F1255"/>
      <c r="G1255" s="120"/>
      <c r="H1255" s="120"/>
      <c r="I1255"/>
    </row>
    <row r="1256" spans="1:9" ht="12.75">
      <c r="A1256"/>
      <c r="B1256"/>
      <c r="C1256"/>
      <c r="D1256"/>
      <c r="E1256"/>
      <c r="F1256"/>
      <c r="G1256" s="120"/>
      <c r="H1256" s="120"/>
      <c r="I1256"/>
    </row>
    <row r="1257" spans="1:9" ht="12.75">
      <c r="A1257"/>
      <c r="B1257"/>
      <c r="C1257"/>
      <c r="D1257"/>
      <c r="E1257"/>
      <c r="F1257"/>
      <c r="G1257" s="120"/>
      <c r="H1257" s="120"/>
      <c r="I1257"/>
    </row>
    <row r="1258" spans="1:9" ht="12.75">
      <c r="A1258"/>
      <c r="B1258"/>
      <c r="C1258"/>
      <c r="D1258"/>
      <c r="E1258"/>
      <c r="F1258"/>
      <c r="G1258" s="120"/>
      <c r="H1258" s="120"/>
      <c r="I1258"/>
    </row>
    <row r="1259" spans="1:9" ht="12.75">
      <c r="A1259"/>
      <c r="B1259"/>
      <c r="C1259"/>
      <c r="D1259"/>
      <c r="E1259"/>
      <c r="F1259"/>
      <c r="G1259" s="120"/>
      <c r="H1259" s="120"/>
      <c r="I1259"/>
    </row>
    <row r="1260" spans="1:9" ht="12.75">
      <c r="A1260"/>
      <c r="B1260"/>
      <c r="C1260"/>
      <c r="D1260"/>
      <c r="E1260"/>
      <c r="F1260"/>
      <c r="G1260" s="120"/>
      <c r="H1260" s="120"/>
      <c r="I1260"/>
    </row>
    <row r="1261" spans="1:9" ht="12.75">
      <c r="A1261"/>
      <c r="B1261"/>
      <c r="C1261"/>
      <c r="D1261"/>
      <c r="E1261"/>
      <c r="F1261"/>
      <c r="G1261" s="120"/>
      <c r="H1261" s="120"/>
      <c r="I1261"/>
    </row>
    <row r="1262" spans="1:9" ht="12.75">
      <c r="A1262"/>
      <c r="B1262"/>
      <c r="C1262"/>
      <c r="D1262"/>
      <c r="E1262"/>
      <c r="F1262"/>
      <c r="G1262" s="120"/>
      <c r="H1262" s="120"/>
      <c r="I1262"/>
    </row>
    <row r="1263" spans="1:9" ht="12.75">
      <c r="A1263"/>
      <c r="B1263"/>
      <c r="C1263"/>
      <c r="D1263"/>
      <c r="E1263"/>
      <c r="F1263"/>
      <c r="G1263" s="120"/>
      <c r="H1263" s="120"/>
      <c r="I1263"/>
    </row>
    <row r="1264" spans="1:9" ht="12.75">
      <c r="A1264"/>
      <c r="B1264"/>
      <c r="C1264"/>
      <c r="D1264"/>
      <c r="E1264"/>
      <c r="F1264"/>
      <c r="G1264" s="120"/>
      <c r="H1264" s="120"/>
      <c r="I1264"/>
    </row>
    <row r="1265" spans="1:9" ht="12.75">
      <c r="A1265"/>
      <c r="B1265"/>
      <c r="C1265"/>
      <c r="D1265"/>
      <c r="E1265"/>
      <c r="F1265"/>
      <c r="G1265" s="120"/>
      <c r="H1265" s="120"/>
      <c r="I1265"/>
    </row>
    <row r="1266" spans="1:9" ht="12.75">
      <c r="A1266"/>
      <c r="B1266"/>
      <c r="C1266"/>
      <c r="D1266"/>
      <c r="E1266"/>
      <c r="F1266"/>
      <c r="G1266" s="120"/>
      <c r="H1266" s="120"/>
      <c r="I1266"/>
    </row>
    <row r="1267" spans="1:9" ht="12.75">
      <c r="A1267"/>
      <c r="B1267"/>
      <c r="C1267"/>
      <c r="D1267"/>
      <c r="E1267"/>
      <c r="F1267"/>
      <c r="G1267" s="120"/>
      <c r="H1267" s="120"/>
      <c r="I1267"/>
    </row>
    <row r="1268" spans="1:9" ht="12.75">
      <c r="A1268"/>
      <c r="B1268"/>
      <c r="C1268"/>
      <c r="D1268"/>
      <c r="E1268"/>
      <c r="F1268"/>
      <c r="G1268" s="120"/>
      <c r="H1268" s="120"/>
      <c r="I1268"/>
    </row>
    <row r="1269" spans="1:9" ht="12.75">
      <c r="A1269"/>
      <c r="B1269"/>
      <c r="C1269"/>
      <c r="D1269"/>
      <c r="E1269"/>
      <c r="F1269"/>
      <c r="G1269" s="120"/>
      <c r="H1269" s="120"/>
      <c r="I1269"/>
    </row>
    <row r="1270" spans="1:9" ht="12.75">
      <c r="A1270"/>
      <c r="B1270"/>
      <c r="C1270"/>
      <c r="D1270"/>
      <c r="E1270"/>
      <c r="F1270"/>
      <c r="G1270" s="120"/>
      <c r="H1270" s="120"/>
      <c r="I1270"/>
    </row>
    <row r="1271" spans="1:9" ht="12.75">
      <c r="A1271"/>
      <c r="B1271"/>
      <c r="C1271"/>
      <c r="D1271"/>
      <c r="E1271"/>
      <c r="F1271"/>
      <c r="G1271" s="120"/>
      <c r="H1271" s="120"/>
      <c r="I1271"/>
    </row>
    <row r="1272" spans="1:9" ht="12.75">
      <c r="A1272"/>
      <c r="B1272"/>
      <c r="C1272"/>
      <c r="D1272"/>
      <c r="E1272"/>
      <c r="F1272"/>
      <c r="G1272" s="120"/>
      <c r="H1272" s="120"/>
      <c r="I1272"/>
    </row>
    <row r="1273" spans="1:9" ht="12.75">
      <c r="A1273"/>
      <c r="B1273"/>
      <c r="C1273"/>
      <c r="D1273"/>
      <c r="E1273"/>
      <c r="F1273"/>
      <c r="G1273" s="120"/>
      <c r="H1273" s="120"/>
      <c r="I1273"/>
    </row>
    <row r="1274" spans="1:9" ht="12.75">
      <c r="A1274"/>
      <c r="B1274"/>
      <c r="C1274"/>
      <c r="D1274"/>
      <c r="E1274"/>
      <c r="F1274"/>
      <c r="G1274" s="120"/>
      <c r="H1274" s="120"/>
      <c r="I1274"/>
    </row>
    <row r="1275" spans="1:9" ht="12.75">
      <c r="A1275"/>
      <c r="B1275"/>
      <c r="C1275"/>
      <c r="D1275"/>
      <c r="E1275"/>
      <c r="F1275"/>
      <c r="G1275" s="120"/>
      <c r="H1275" s="120"/>
      <c r="I1275"/>
    </row>
    <row r="1276" spans="1:9" ht="12.75">
      <c r="A1276"/>
      <c r="B1276"/>
      <c r="C1276"/>
      <c r="D1276"/>
      <c r="E1276"/>
      <c r="F1276"/>
      <c r="G1276" s="120"/>
      <c r="H1276" s="120"/>
      <c r="I1276"/>
    </row>
    <row r="1277" spans="1:9" ht="12.75">
      <c r="A1277"/>
      <c r="B1277"/>
      <c r="C1277"/>
      <c r="D1277"/>
      <c r="E1277"/>
      <c r="F1277"/>
      <c r="G1277" s="120"/>
      <c r="H1277" s="120"/>
      <c r="I1277"/>
    </row>
    <row r="1278" spans="1:9" ht="12.75">
      <c r="A1278"/>
      <c r="B1278"/>
      <c r="C1278"/>
      <c r="D1278"/>
      <c r="E1278"/>
      <c r="F1278"/>
      <c r="G1278" s="120"/>
      <c r="H1278" s="120"/>
      <c r="I1278"/>
    </row>
    <row r="1279" spans="1:9" ht="12.75">
      <c r="A1279"/>
      <c r="B1279"/>
      <c r="C1279"/>
      <c r="D1279"/>
      <c r="E1279"/>
      <c r="F1279"/>
      <c r="G1279" s="120"/>
      <c r="H1279" s="120"/>
      <c r="I1279"/>
    </row>
    <row r="1280" spans="1:9" ht="12.75">
      <c r="A1280"/>
      <c r="B1280"/>
      <c r="C1280"/>
      <c r="D1280"/>
      <c r="E1280"/>
      <c r="F1280"/>
      <c r="G1280" s="120"/>
      <c r="H1280" s="120"/>
      <c r="I1280"/>
    </row>
    <row r="1281" spans="1:9" ht="12.75">
      <c r="A1281"/>
      <c r="B1281"/>
      <c r="C1281"/>
      <c r="D1281"/>
      <c r="E1281"/>
      <c r="F1281"/>
      <c r="G1281" s="120"/>
      <c r="H1281" s="120"/>
      <c r="I1281"/>
    </row>
    <row r="1282" spans="1:9" ht="12.75">
      <c r="A1282"/>
      <c r="B1282"/>
      <c r="C1282"/>
      <c r="D1282"/>
      <c r="E1282"/>
      <c r="F1282"/>
      <c r="G1282" s="120"/>
      <c r="H1282" s="120"/>
      <c r="I1282"/>
    </row>
    <row r="1283" spans="1:9" ht="12.75">
      <c r="A1283"/>
      <c r="B1283"/>
      <c r="C1283"/>
      <c r="D1283"/>
      <c r="E1283"/>
      <c r="F1283"/>
      <c r="G1283" s="120"/>
      <c r="H1283" s="120"/>
      <c r="I1283"/>
    </row>
    <row r="1284" spans="1:9" ht="12.75">
      <c r="A1284"/>
      <c r="B1284"/>
      <c r="C1284"/>
      <c r="D1284"/>
      <c r="E1284"/>
      <c r="F1284"/>
      <c r="G1284" s="120"/>
      <c r="H1284" s="120"/>
      <c r="I1284"/>
    </row>
    <row r="1285" spans="1:9" ht="12.75">
      <c r="A1285"/>
      <c r="B1285"/>
      <c r="C1285"/>
      <c r="D1285"/>
      <c r="E1285"/>
      <c r="F1285"/>
      <c r="G1285" s="120"/>
      <c r="H1285" s="120"/>
      <c r="I1285"/>
    </row>
    <row r="1286" spans="1:9" ht="12.75">
      <c r="A1286"/>
      <c r="B1286"/>
      <c r="C1286"/>
      <c r="D1286"/>
      <c r="E1286"/>
      <c r="F1286"/>
      <c r="G1286" s="120"/>
      <c r="H1286" s="120"/>
      <c r="I1286"/>
    </row>
    <row r="1287" spans="1:9" ht="12.75">
      <c r="A1287"/>
      <c r="B1287"/>
      <c r="C1287"/>
      <c r="D1287"/>
      <c r="E1287"/>
      <c r="F1287"/>
      <c r="G1287" s="120"/>
      <c r="H1287" s="120"/>
      <c r="I1287"/>
    </row>
    <row r="1288" spans="1:9" ht="12.75">
      <c r="A1288"/>
      <c r="B1288"/>
      <c r="C1288"/>
      <c r="D1288"/>
      <c r="E1288"/>
      <c r="F1288"/>
      <c r="G1288" s="120"/>
      <c r="H1288" s="120"/>
      <c r="I1288"/>
    </row>
    <row r="1289" spans="1:9" ht="12.75">
      <c r="A1289"/>
      <c r="B1289"/>
      <c r="C1289"/>
      <c r="D1289"/>
      <c r="E1289"/>
      <c r="F1289"/>
      <c r="G1289" s="120"/>
      <c r="H1289" s="120"/>
      <c r="I1289"/>
    </row>
    <row r="1290" spans="1:9" ht="12.75">
      <c r="A1290"/>
      <c r="B1290"/>
      <c r="C1290"/>
      <c r="D1290"/>
      <c r="E1290"/>
      <c r="F1290"/>
      <c r="G1290" s="120"/>
      <c r="H1290" s="120"/>
      <c r="I1290"/>
    </row>
    <row r="1291" spans="1:9" ht="12.75">
      <c r="A1291"/>
      <c r="B1291"/>
      <c r="C1291"/>
      <c r="D1291"/>
      <c r="E1291"/>
      <c r="F1291"/>
      <c r="G1291" s="120"/>
      <c r="H1291" s="120"/>
      <c r="I1291"/>
    </row>
    <row r="1292" spans="1:9" ht="12.75">
      <c r="A1292"/>
      <c r="B1292"/>
      <c r="C1292"/>
      <c r="D1292"/>
      <c r="E1292"/>
      <c r="F1292"/>
      <c r="G1292" s="120"/>
      <c r="H1292" s="120"/>
      <c r="I1292"/>
    </row>
    <row r="1293" spans="1:9" ht="12.75">
      <c r="A1293"/>
      <c r="B1293"/>
      <c r="C1293"/>
      <c r="D1293"/>
      <c r="E1293"/>
      <c r="F1293"/>
      <c r="G1293" s="120"/>
      <c r="H1293" s="120"/>
      <c r="I1293"/>
    </row>
    <row r="1294" spans="1:9" ht="12.75">
      <c r="A1294"/>
      <c r="B1294"/>
      <c r="C1294"/>
      <c r="D1294"/>
      <c r="E1294"/>
      <c r="F1294"/>
      <c r="G1294" s="120"/>
      <c r="H1294" s="120"/>
      <c r="I1294"/>
    </row>
    <row r="1295" spans="1:9" ht="12.75">
      <c r="A1295"/>
      <c r="B1295"/>
      <c r="C1295"/>
      <c r="D1295"/>
      <c r="E1295"/>
      <c r="F1295"/>
      <c r="G1295" s="120"/>
      <c r="H1295" s="120"/>
      <c r="I1295"/>
    </row>
    <row r="1296" spans="1:9" ht="12.75">
      <c r="A1296"/>
      <c r="B1296"/>
      <c r="C1296"/>
      <c r="D1296"/>
      <c r="E1296"/>
      <c r="F1296"/>
      <c r="G1296" s="120"/>
      <c r="H1296" s="120"/>
      <c r="I1296"/>
    </row>
    <row r="1297" spans="1:9" ht="12.75">
      <c r="A1297"/>
      <c r="B1297"/>
      <c r="C1297"/>
      <c r="D1297"/>
      <c r="E1297"/>
      <c r="F1297"/>
      <c r="G1297" s="120"/>
      <c r="H1297" s="120"/>
      <c r="I1297"/>
    </row>
    <row r="1298" spans="1:9" ht="12.75">
      <c r="A1298"/>
      <c r="B1298"/>
      <c r="C1298"/>
      <c r="D1298"/>
      <c r="E1298"/>
      <c r="F1298"/>
      <c r="G1298" s="120"/>
      <c r="H1298" s="120"/>
      <c r="I1298"/>
    </row>
    <row r="1299" spans="1:9" ht="12.75">
      <c r="A1299"/>
      <c r="B1299"/>
      <c r="C1299"/>
      <c r="D1299"/>
      <c r="E1299"/>
      <c r="F1299"/>
      <c r="G1299" s="120"/>
      <c r="H1299" s="120"/>
      <c r="I1299"/>
    </row>
    <row r="1300" spans="1:9" ht="12.75">
      <c r="A1300"/>
      <c r="B1300"/>
      <c r="C1300"/>
      <c r="D1300"/>
      <c r="E1300"/>
      <c r="F1300"/>
      <c r="G1300" s="120"/>
      <c r="H1300" s="120"/>
      <c r="I1300"/>
    </row>
    <row r="1301" spans="1:9" ht="12.75">
      <c r="A1301"/>
      <c r="B1301"/>
      <c r="C1301"/>
      <c r="D1301"/>
      <c r="E1301"/>
      <c r="F1301"/>
      <c r="G1301" s="120"/>
      <c r="H1301" s="120"/>
      <c r="I1301"/>
    </row>
    <row r="1302" spans="1:9" ht="12.75">
      <c r="A1302"/>
      <c r="B1302"/>
      <c r="C1302"/>
      <c r="D1302"/>
      <c r="E1302"/>
      <c r="F1302"/>
      <c r="G1302" s="120"/>
      <c r="H1302" s="120"/>
      <c r="I1302"/>
    </row>
    <row r="1303" spans="1:9" ht="12.75">
      <c r="A1303"/>
      <c r="B1303"/>
      <c r="C1303"/>
      <c r="D1303"/>
      <c r="E1303"/>
      <c r="F1303"/>
      <c r="G1303" s="120"/>
      <c r="H1303" s="120"/>
      <c r="I1303"/>
    </row>
    <row r="1304" spans="1:9" ht="12.75">
      <c r="A1304"/>
      <c r="B1304"/>
      <c r="C1304"/>
      <c r="D1304"/>
      <c r="E1304"/>
      <c r="F1304"/>
      <c r="G1304" s="120"/>
      <c r="H1304" s="120"/>
      <c r="I1304"/>
    </row>
    <row r="1305" spans="1:9" ht="12.75">
      <c r="A1305"/>
      <c r="B1305"/>
      <c r="C1305"/>
      <c r="D1305"/>
      <c r="E1305"/>
      <c r="F1305"/>
      <c r="G1305" s="120"/>
      <c r="H1305" s="120"/>
      <c r="I1305"/>
    </row>
    <row r="1306" spans="1:9" ht="12.75">
      <c r="A1306"/>
      <c r="B1306"/>
      <c r="C1306"/>
      <c r="D1306"/>
      <c r="E1306"/>
      <c r="F1306"/>
      <c r="G1306" s="120"/>
      <c r="H1306" s="120"/>
      <c r="I1306"/>
    </row>
    <row r="1307" spans="1:9" ht="12.75">
      <c r="A1307"/>
      <c r="B1307"/>
      <c r="C1307"/>
      <c r="D1307"/>
      <c r="E1307"/>
      <c r="F1307"/>
      <c r="G1307" s="120"/>
      <c r="H1307" s="120"/>
      <c r="I1307"/>
    </row>
    <row r="1308" spans="1:9" ht="12.75">
      <c r="A1308"/>
      <c r="B1308"/>
      <c r="C1308"/>
      <c r="D1308"/>
      <c r="E1308"/>
      <c r="F1308"/>
      <c r="G1308" s="120"/>
      <c r="H1308" s="120"/>
      <c r="I1308"/>
    </row>
    <row r="1309" spans="1:9" ht="12.75">
      <c r="A1309"/>
      <c r="B1309"/>
      <c r="C1309"/>
      <c r="D1309"/>
      <c r="E1309"/>
      <c r="F1309"/>
      <c r="G1309" s="120"/>
      <c r="H1309" s="120"/>
      <c r="I1309"/>
    </row>
    <row r="1310" spans="1:9" ht="12.75">
      <c r="A1310"/>
      <c r="B1310"/>
      <c r="C1310"/>
      <c r="D1310"/>
      <c r="E1310"/>
      <c r="F1310"/>
      <c r="G1310" s="120"/>
      <c r="H1310" s="120"/>
      <c r="I1310"/>
    </row>
    <row r="1311" spans="1:9" ht="12.75">
      <c r="A1311"/>
      <c r="B1311"/>
      <c r="C1311"/>
      <c r="D1311"/>
      <c r="E1311"/>
      <c r="F1311"/>
      <c r="G1311" s="120"/>
      <c r="H1311" s="120"/>
      <c r="I1311"/>
    </row>
    <row r="1312" spans="1:9" ht="12.75">
      <c r="A1312"/>
      <c r="B1312"/>
      <c r="C1312"/>
      <c r="D1312"/>
      <c r="E1312"/>
      <c r="F1312"/>
      <c r="G1312" s="120"/>
      <c r="H1312" s="120"/>
      <c r="I1312"/>
    </row>
    <row r="1313" spans="1:9" ht="12.75">
      <c r="A1313"/>
      <c r="B1313"/>
      <c r="C1313"/>
      <c r="D1313"/>
      <c r="E1313"/>
      <c r="F1313"/>
      <c r="G1313" s="120"/>
      <c r="H1313" s="120"/>
      <c r="I1313"/>
    </row>
    <row r="1314" spans="1:9" ht="12.75">
      <c r="A1314"/>
      <c r="B1314"/>
      <c r="C1314"/>
      <c r="D1314"/>
      <c r="E1314"/>
      <c r="F1314"/>
      <c r="G1314" s="120"/>
      <c r="H1314" s="120"/>
      <c r="I1314"/>
    </row>
    <row r="1315" spans="1:9" ht="12.75">
      <c r="A1315"/>
      <c r="B1315"/>
      <c r="C1315"/>
      <c r="D1315"/>
      <c r="E1315"/>
      <c r="F1315"/>
      <c r="G1315" s="120"/>
      <c r="H1315" s="120"/>
      <c r="I1315"/>
    </row>
    <row r="1316" spans="1:9" ht="12.75">
      <c r="A1316"/>
      <c r="B1316"/>
      <c r="C1316"/>
      <c r="D1316"/>
      <c r="E1316"/>
      <c r="F1316"/>
      <c r="G1316" s="120"/>
      <c r="H1316" s="120"/>
      <c r="I1316"/>
    </row>
    <row r="1317" spans="1:9" ht="12.75">
      <c r="A1317"/>
      <c r="B1317"/>
      <c r="C1317"/>
      <c r="D1317"/>
      <c r="E1317"/>
      <c r="F1317"/>
      <c r="G1317" s="120"/>
      <c r="H1317" s="120"/>
      <c r="I1317"/>
    </row>
    <row r="1318" spans="1:9" ht="12.75">
      <c r="A1318"/>
      <c r="B1318"/>
      <c r="C1318"/>
      <c r="D1318"/>
      <c r="E1318"/>
      <c r="F1318"/>
      <c r="G1318" s="120"/>
      <c r="H1318" s="120"/>
      <c r="I1318"/>
    </row>
    <row r="1319" spans="1:9" ht="12.75">
      <c r="A1319"/>
      <c r="B1319"/>
      <c r="C1319"/>
      <c r="D1319"/>
      <c r="E1319"/>
      <c r="F1319"/>
      <c r="G1319" s="120"/>
      <c r="H1319" s="120"/>
      <c r="I1319"/>
    </row>
    <row r="1320" spans="1:9" ht="12.75">
      <c r="A1320"/>
      <c r="B1320"/>
      <c r="C1320"/>
      <c r="D1320"/>
      <c r="E1320"/>
      <c r="F1320"/>
      <c r="G1320" s="120"/>
      <c r="H1320" s="120"/>
      <c r="I1320"/>
    </row>
    <row r="1321" spans="1:9" ht="12.75">
      <c r="A1321"/>
      <c r="B1321"/>
      <c r="C1321"/>
      <c r="D1321"/>
      <c r="E1321"/>
      <c r="F1321"/>
      <c r="G1321" s="120"/>
      <c r="H1321" s="120"/>
      <c r="I1321"/>
    </row>
    <row r="1322" spans="1:9" ht="12.75">
      <c r="A1322"/>
      <c r="B1322"/>
      <c r="C1322"/>
      <c r="D1322"/>
      <c r="E1322"/>
      <c r="F1322"/>
      <c r="G1322" s="120"/>
      <c r="H1322" s="120"/>
      <c r="I1322"/>
    </row>
    <row r="1323" spans="1:9" ht="12.75">
      <c r="A1323"/>
      <c r="B1323"/>
      <c r="C1323"/>
      <c r="D1323"/>
      <c r="E1323"/>
      <c r="F1323"/>
      <c r="G1323" s="120"/>
      <c r="H1323" s="120"/>
      <c r="I1323"/>
    </row>
    <row r="1324" spans="1:9" ht="12.75">
      <c r="A1324"/>
      <c r="B1324"/>
      <c r="C1324"/>
      <c r="D1324"/>
      <c r="E1324"/>
      <c r="F1324"/>
      <c r="G1324" s="120"/>
      <c r="H1324" s="120"/>
      <c r="I1324"/>
    </row>
    <row r="1325" spans="1:9" ht="12.75">
      <c r="A1325"/>
      <c r="B1325"/>
      <c r="C1325"/>
      <c r="D1325"/>
      <c r="E1325"/>
      <c r="F1325"/>
      <c r="G1325" s="120"/>
      <c r="H1325" s="120"/>
      <c r="I1325"/>
    </row>
    <row r="1326" spans="1:9" ht="12.75">
      <c r="A1326"/>
      <c r="B1326"/>
      <c r="C1326"/>
      <c r="D1326"/>
      <c r="E1326"/>
      <c r="F1326"/>
      <c r="G1326" s="120"/>
      <c r="H1326" s="120"/>
      <c r="I1326"/>
    </row>
    <row r="1327" spans="1:9" ht="12.75">
      <c r="A1327"/>
      <c r="B1327"/>
      <c r="C1327"/>
      <c r="D1327"/>
      <c r="E1327"/>
      <c r="F1327"/>
      <c r="G1327" s="120"/>
      <c r="H1327" s="120"/>
      <c r="I1327"/>
    </row>
    <row r="1328" spans="1:9" ht="12.75">
      <c r="A1328"/>
      <c r="B1328"/>
      <c r="C1328"/>
      <c r="D1328"/>
      <c r="E1328"/>
      <c r="F1328"/>
      <c r="G1328" s="120"/>
      <c r="H1328" s="120"/>
      <c r="I1328"/>
    </row>
    <row r="1329" spans="1:9" ht="12.75">
      <c r="A1329"/>
      <c r="B1329"/>
      <c r="C1329"/>
      <c r="D1329"/>
      <c r="E1329"/>
      <c r="F1329"/>
      <c r="G1329" s="120"/>
      <c r="H1329" s="120"/>
      <c r="I1329"/>
    </row>
    <row r="1330" spans="1:9" ht="12.75">
      <c r="A1330"/>
      <c r="B1330"/>
      <c r="C1330"/>
      <c r="D1330"/>
      <c r="E1330"/>
      <c r="F1330"/>
      <c r="G1330" s="120"/>
      <c r="H1330" s="120"/>
      <c r="I1330"/>
    </row>
    <row r="1331" spans="1:9" ht="12.75">
      <c r="A1331"/>
      <c r="B1331"/>
      <c r="C1331"/>
      <c r="D1331"/>
      <c r="E1331"/>
      <c r="F1331"/>
      <c r="G1331" s="120"/>
      <c r="H1331" s="120"/>
      <c r="I1331"/>
    </row>
    <row r="1332" spans="1:9" ht="12.75">
      <c r="A1332"/>
      <c r="B1332"/>
      <c r="C1332"/>
      <c r="D1332"/>
      <c r="E1332"/>
      <c r="F1332"/>
      <c r="G1332" s="120"/>
      <c r="H1332" s="120"/>
      <c r="I1332"/>
    </row>
    <row r="1333" spans="1:9" ht="12.75">
      <c r="A1333"/>
      <c r="B1333"/>
      <c r="C1333"/>
      <c r="D1333"/>
      <c r="E1333"/>
      <c r="F1333"/>
      <c r="G1333" s="120"/>
      <c r="H1333" s="120"/>
      <c r="I1333"/>
    </row>
    <row r="1334" spans="1:9" ht="12.75">
      <c r="A1334"/>
      <c r="B1334"/>
      <c r="C1334"/>
      <c r="D1334"/>
      <c r="E1334"/>
      <c r="F1334"/>
      <c r="G1334" s="120"/>
      <c r="H1334" s="120"/>
      <c r="I1334"/>
    </row>
    <row r="1335" spans="1:9" ht="12.75">
      <c r="A1335"/>
      <c r="B1335"/>
      <c r="C1335"/>
      <c r="D1335"/>
      <c r="E1335"/>
      <c r="F1335"/>
      <c r="G1335" s="120"/>
      <c r="H1335" s="120"/>
      <c r="I1335"/>
    </row>
    <row r="1336" spans="1:9" ht="12.75">
      <c r="A1336"/>
      <c r="B1336"/>
      <c r="C1336"/>
      <c r="D1336"/>
      <c r="E1336"/>
      <c r="F1336"/>
      <c r="G1336" s="120"/>
      <c r="H1336" s="120"/>
      <c r="I1336"/>
    </row>
    <row r="1337" spans="1:9" ht="12.75">
      <c r="A1337"/>
      <c r="B1337"/>
      <c r="C1337"/>
      <c r="D1337"/>
      <c r="E1337"/>
      <c r="F1337"/>
      <c r="G1337" s="120"/>
      <c r="H1337" s="120"/>
      <c r="I1337"/>
    </row>
    <row r="1338" spans="1:9" ht="12.75">
      <c r="A1338"/>
      <c r="B1338"/>
      <c r="C1338"/>
      <c r="D1338"/>
      <c r="E1338"/>
      <c r="F1338"/>
      <c r="G1338" s="120"/>
      <c r="H1338" s="120"/>
      <c r="I1338"/>
    </row>
    <row r="1339" spans="1:9" ht="12.75">
      <c r="A1339"/>
      <c r="B1339"/>
      <c r="C1339"/>
      <c r="D1339"/>
      <c r="E1339"/>
      <c r="F1339"/>
      <c r="G1339" s="120"/>
      <c r="H1339" s="120"/>
      <c r="I1339"/>
    </row>
    <row r="1340" spans="1:9" ht="12.75">
      <c r="A1340"/>
      <c r="B1340"/>
      <c r="C1340"/>
      <c r="D1340"/>
      <c r="E1340"/>
      <c r="F1340"/>
      <c r="G1340" s="120"/>
      <c r="H1340" s="120"/>
      <c r="I1340"/>
    </row>
    <row r="1341" spans="1:9" ht="12.75">
      <c r="A1341"/>
      <c r="B1341"/>
      <c r="C1341"/>
      <c r="D1341"/>
      <c r="E1341"/>
      <c r="F1341"/>
      <c r="G1341" s="120"/>
      <c r="H1341" s="120"/>
      <c r="I1341"/>
    </row>
    <row r="1342" spans="1:9" ht="12.75">
      <c r="A1342"/>
      <c r="B1342"/>
      <c r="C1342"/>
      <c r="D1342"/>
      <c r="E1342"/>
      <c r="F1342"/>
      <c r="G1342" s="120"/>
      <c r="H1342" s="120"/>
      <c r="I1342"/>
    </row>
    <row r="1343" spans="1:9" ht="12.75">
      <c r="A1343"/>
      <c r="B1343"/>
      <c r="C1343"/>
      <c r="D1343"/>
      <c r="E1343"/>
      <c r="F1343"/>
      <c r="G1343" s="120"/>
      <c r="H1343" s="120"/>
      <c r="I1343"/>
    </row>
    <row r="1344" spans="1:9" ht="12.75">
      <c r="A1344"/>
      <c r="B1344"/>
      <c r="C1344"/>
      <c r="D1344"/>
      <c r="E1344"/>
      <c r="F1344"/>
      <c r="G1344" s="120"/>
      <c r="H1344" s="120"/>
      <c r="I1344"/>
    </row>
    <row r="1345" spans="1:9" ht="12.75">
      <c r="A1345"/>
      <c r="B1345"/>
      <c r="C1345"/>
      <c r="D1345"/>
      <c r="E1345"/>
      <c r="F1345"/>
      <c r="G1345" s="120"/>
      <c r="H1345" s="120"/>
      <c r="I1345"/>
    </row>
    <row r="1346" spans="1:9" ht="12.75">
      <c r="A1346"/>
      <c r="B1346"/>
      <c r="C1346"/>
      <c r="D1346"/>
      <c r="E1346"/>
      <c r="F1346"/>
      <c r="G1346" s="120"/>
      <c r="H1346" s="120"/>
      <c r="I1346"/>
    </row>
    <row r="1347" spans="1:9" ht="12.75">
      <c r="A1347"/>
      <c r="B1347"/>
      <c r="C1347"/>
      <c r="D1347"/>
      <c r="E1347"/>
      <c r="F1347"/>
      <c r="G1347" s="120"/>
      <c r="H1347" s="120"/>
      <c r="I1347"/>
    </row>
    <row r="1348" spans="1:9" ht="12.75">
      <c r="A1348"/>
      <c r="B1348"/>
      <c r="C1348"/>
      <c r="D1348"/>
      <c r="E1348"/>
      <c r="F1348"/>
      <c r="G1348" s="120"/>
      <c r="H1348" s="120"/>
      <c r="I1348"/>
    </row>
    <row r="1349" spans="1:9" ht="12.75">
      <c r="A1349"/>
      <c r="B1349"/>
      <c r="C1349"/>
      <c r="D1349"/>
      <c r="E1349"/>
      <c r="F1349"/>
      <c r="G1349" s="120"/>
      <c r="H1349" s="120"/>
      <c r="I1349"/>
    </row>
    <row r="1350" spans="1:9" ht="12.75">
      <c r="A1350"/>
      <c r="B1350"/>
      <c r="C1350"/>
      <c r="D1350"/>
      <c r="E1350"/>
      <c r="F1350"/>
      <c r="G1350" s="120"/>
      <c r="H1350" s="120"/>
      <c r="I1350"/>
    </row>
    <row r="1351" spans="1:9" ht="12.75">
      <c r="A1351"/>
      <c r="B1351"/>
      <c r="C1351"/>
      <c r="D1351"/>
      <c r="E1351"/>
      <c r="F1351"/>
      <c r="G1351" s="120"/>
      <c r="H1351" s="120"/>
      <c r="I1351"/>
    </row>
    <row r="1352" spans="1:9" ht="12.75">
      <c r="A1352"/>
      <c r="B1352"/>
      <c r="C1352"/>
      <c r="D1352"/>
      <c r="E1352"/>
      <c r="F1352"/>
      <c r="G1352" s="120"/>
      <c r="H1352" s="120"/>
      <c r="I1352"/>
    </row>
    <row r="1353" spans="1:9" ht="12.75">
      <c r="A1353"/>
      <c r="B1353"/>
      <c r="C1353"/>
      <c r="D1353"/>
      <c r="E1353"/>
      <c r="F1353"/>
      <c r="G1353" s="120"/>
      <c r="H1353" s="120"/>
      <c r="I1353"/>
    </row>
    <row r="1354" spans="1:9" ht="12.75">
      <c r="A1354"/>
      <c r="B1354"/>
      <c r="C1354"/>
      <c r="D1354"/>
      <c r="E1354"/>
      <c r="F1354"/>
      <c r="G1354" s="120"/>
      <c r="H1354" s="120"/>
      <c r="I1354"/>
    </row>
    <row r="1355" spans="1:9" ht="12.75">
      <c r="A1355"/>
      <c r="B1355"/>
      <c r="C1355"/>
      <c r="D1355"/>
      <c r="E1355"/>
      <c r="F1355"/>
      <c r="G1355" s="120"/>
      <c r="H1355" s="120"/>
      <c r="I1355"/>
    </row>
    <row r="1356" spans="1:9" ht="12.75">
      <c r="A1356"/>
      <c r="B1356"/>
      <c r="C1356"/>
      <c r="D1356"/>
      <c r="E1356"/>
      <c r="F1356"/>
      <c r="G1356" s="120"/>
      <c r="H1356" s="120"/>
      <c r="I1356"/>
    </row>
    <row r="1357" spans="1:9" ht="12.75">
      <c r="A1357"/>
      <c r="B1357"/>
      <c r="C1357"/>
      <c r="D1357"/>
      <c r="E1357"/>
      <c r="F1357"/>
      <c r="G1357" s="120"/>
      <c r="H1357" s="120"/>
      <c r="I1357"/>
    </row>
    <row r="1358" spans="1:9" ht="12.75">
      <c r="A1358"/>
      <c r="B1358"/>
      <c r="C1358"/>
      <c r="D1358"/>
      <c r="E1358"/>
      <c r="F1358"/>
      <c r="G1358" s="120"/>
      <c r="H1358" s="120"/>
      <c r="I1358"/>
    </row>
    <row r="1359" spans="1:9" ht="12.75">
      <c r="A1359"/>
      <c r="B1359"/>
      <c r="C1359"/>
      <c r="D1359"/>
      <c r="E1359"/>
      <c r="F1359"/>
      <c r="G1359" s="120"/>
      <c r="H1359" s="120"/>
      <c r="I1359"/>
    </row>
    <row r="1360" spans="1:9" ht="12.75">
      <c r="A1360"/>
      <c r="B1360"/>
      <c r="C1360"/>
      <c r="D1360"/>
      <c r="E1360"/>
      <c r="F1360"/>
      <c r="G1360" s="120"/>
      <c r="H1360" s="120"/>
      <c r="I1360"/>
    </row>
    <row r="1361" spans="1:9" ht="12.75">
      <c r="A1361"/>
      <c r="B1361"/>
      <c r="C1361"/>
      <c r="D1361"/>
      <c r="E1361"/>
      <c r="F1361"/>
      <c r="G1361" s="120"/>
      <c r="H1361" s="120"/>
      <c r="I1361"/>
    </row>
    <row r="1362" spans="1:9" ht="12.75">
      <c r="A1362"/>
      <c r="B1362"/>
      <c r="C1362"/>
      <c r="D1362"/>
      <c r="E1362"/>
      <c r="F1362"/>
      <c r="G1362" s="120"/>
      <c r="H1362" s="120"/>
      <c r="I1362"/>
    </row>
    <row r="1363" spans="1:9" ht="12.75">
      <c r="A1363"/>
      <c r="B1363"/>
      <c r="C1363"/>
      <c r="D1363"/>
      <c r="E1363"/>
      <c r="F1363"/>
      <c r="G1363" s="120"/>
      <c r="H1363" s="120"/>
      <c r="I1363"/>
    </row>
    <row r="1364" spans="1:9" ht="12.75">
      <c r="A1364"/>
      <c r="B1364"/>
      <c r="C1364"/>
      <c r="D1364"/>
      <c r="E1364"/>
      <c r="F1364"/>
      <c r="G1364" s="120"/>
      <c r="H1364" s="120"/>
      <c r="I1364"/>
    </row>
    <row r="1365" spans="1:9" ht="12.75">
      <c r="A1365"/>
      <c r="B1365"/>
      <c r="C1365"/>
      <c r="D1365"/>
      <c r="E1365"/>
      <c r="F1365"/>
      <c r="G1365" s="120"/>
      <c r="H1365" s="120"/>
      <c r="I1365"/>
    </row>
    <row r="1366" spans="1:9" ht="12.75">
      <c r="A1366"/>
      <c r="B1366"/>
      <c r="C1366"/>
      <c r="D1366"/>
      <c r="E1366"/>
      <c r="F1366"/>
      <c r="G1366" s="120"/>
      <c r="H1366" s="120"/>
      <c r="I1366"/>
    </row>
    <row r="1367" spans="1:9" ht="12.75">
      <c r="A1367"/>
      <c r="B1367"/>
      <c r="C1367"/>
      <c r="D1367"/>
      <c r="E1367"/>
      <c r="F1367"/>
      <c r="G1367" s="120"/>
      <c r="H1367" s="120"/>
      <c r="I1367"/>
    </row>
    <row r="1368" spans="1:9" ht="12.75">
      <c r="A1368"/>
      <c r="B1368"/>
      <c r="C1368"/>
      <c r="D1368"/>
      <c r="E1368"/>
      <c r="F1368"/>
      <c r="G1368" s="120"/>
      <c r="H1368" s="120"/>
      <c r="I1368"/>
    </row>
    <row r="1369" spans="1:9" ht="12.75">
      <c r="A1369"/>
      <c r="B1369"/>
      <c r="C1369"/>
      <c r="D1369"/>
      <c r="E1369"/>
      <c r="F1369"/>
      <c r="G1369" s="120"/>
      <c r="H1369" s="120"/>
      <c r="I1369"/>
    </row>
    <row r="1370" spans="1:9" ht="12.75">
      <c r="A1370"/>
      <c r="B1370"/>
      <c r="C1370"/>
      <c r="D1370"/>
      <c r="E1370"/>
      <c r="F1370"/>
      <c r="G1370" s="120"/>
      <c r="H1370" s="120"/>
      <c r="I1370"/>
    </row>
    <row r="1371" spans="1:9" ht="12.75">
      <c r="A1371"/>
      <c r="B1371"/>
      <c r="C1371"/>
      <c r="D1371"/>
      <c r="E1371"/>
      <c r="F1371"/>
      <c r="G1371" s="120"/>
      <c r="H1371" s="120"/>
      <c r="I1371"/>
    </row>
    <row r="1372" spans="1:9" ht="12.75">
      <c r="A1372"/>
      <c r="B1372"/>
      <c r="C1372"/>
      <c r="D1372"/>
      <c r="E1372"/>
      <c r="F1372"/>
      <c r="G1372" s="120"/>
      <c r="H1372" s="120"/>
      <c r="I1372"/>
    </row>
    <row r="1373" spans="1:9" ht="12.75">
      <c r="A1373"/>
      <c r="B1373"/>
      <c r="C1373"/>
      <c r="D1373"/>
      <c r="E1373"/>
      <c r="F1373"/>
      <c r="G1373" s="120"/>
      <c r="H1373" s="120"/>
      <c r="I1373"/>
    </row>
    <row r="1374" spans="1:9" ht="12.75">
      <c r="A1374"/>
      <c r="B1374"/>
      <c r="C1374"/>
      <c r="D1374"/>
      <c r="E1374"/>
      <c r="F1374"/>
      <c r="G1374" s="120"/>
      <c r="H1374" s="120"/>
      <c r="I1374"/>
    </row>
    <row r="1375" spans="1:9" ht="12.75">
      <c r="A1375"/>
      <c r="B1375"/>
      <c r="C1375"/>
      <c r="D1375"/>
      <c r="E1375"/>
      <c r="F1375"/>
      <c r="G1375" s="120"/>
      <c r="H1375" s="120"/>
      <c r="I1375"/>
    </row>
    <row r="1376" spans="1:9" ht="12.75">
      <c r="A1376"/>
      <c r="B1376"/>
      <c r="C1376"/>
      <c r="D1376"/>
      <c r="E1376"/>
      <c r="F1376"/>
      <c r="G1376" s="120"/>
      <c r="H1376" s="120"/>
      <c r="I1376"/>
    </row>
    <row r="1377" spans="1:9" ht="12.75">
      <c r="A1377"/>
      <c r="B1377"/>
      <c r="C1377"/>
      <c r="D1377"/>
      <c r="E1377"/>
      <c r="F1377"/>
      <c r="G1377" s="120"/>
      <c r="H1377" s="120"/>
      <c r="I1377"/>
    </row>
    <row r="1378" spans="1:9" ht="12.75">
      <c r="A1378"/>
      <c r="B1378"/>
      <c r="C1378"/>
      <c r="D1378"/>
      <c r="E1378"/>
      <c r="F1378"/>
      <c r="G1378" s="120"/>
      <c r="H1378" s="120"/>
      <c r="I1378"/>
    </row>
    <row r="1379" spans="1:9" ht="12.75">
      <c r="A1379"/>
      <c r="B1379"/>
      <c r="C1379"/>
      <c r="D1379"/>
      <c r="E1379"/>
      <c r="F1379"/>
      <c r="G1379" s="120"/>
      <c r="H1379" s="120"/>
      <c r="I1379"/>
    </row>
    <row r="1380" spans="1:9" ht="12.75">
      <c r="A1380"/>
      <c r="B1380"/>
      <c r="C1380"/>
      <c r="D1380"/>
      <c r="E1380"/>
      <c r="F1380"/>
      <c r="G1380" s="120"/>
      <c r="H1380" s="120"/>
      <c r="I1380"/>
    </row>
    <row r="1381" spans="1:9" ht="12.75">
      <c r="A1381"/>
      <c r="B1381"/>
      <c r="C1381"/>
      <c r="D1381"/>
      <c r="E1381"/>
      <c r="F1381"/>
      <c r="G1381" s="120"/>
      <c r="H1381" s="120"/>
      <c r="I1381"/>
    </row>
    <row r="1382" spans="1:9" ht="12.75">
      <c r="A1382"/>
      <c r="B1382"/>
      <c r="C1382"/>
      <c r="D1382"/>
      <c r="E1382"/>
      <c r="F1382"/>
      <c r="G1382" s="120"/>
      <c r="H1382" s="120"/>
      <c r="I1382"/>
    </row>
    <row r="1383" spans="1:9" ht="12.75">
      <c r="A1383"/>
      <c r="B1383"/>
      <c r="C1383"/>
      <c r="D1383"/>
      <c r="E1383"/>
      <c r="F1383"/>
      <c r="G1383" s="120"/>
      <c r="H1383" s="120"/>
      <c r="I1383"/>
    </row>
    <row r="1384" spans="1:9" ht="12.75">
      <c r="A1384"/>
      <c r="B1384"/>
      <c r="C1384"/>
      <c r="D1384"/>
      <c r="E1384"/>
      <c r="F1384"/>
      <c r="G1384" s="120"/>
      <c r="H1384" s="120"/>
      <c r="I1384"/>
    </row>
    <row r="1385" spans="1:9" ht="12.75">
      <c r="A1385"/>
      <c r="B1385"/>
      <c r="C1385"/>
      <c r="D1385"/>
      <c r="E1385"/>
      <c r="F1385"/>
      <c r="G1385" s="120"/>
      <c r="H1385" s="120"/>
      <c r="I1385"/>
    </row>
    <row r="1386" spans="1:9" ht="12.75">
      <c r="A1386"/>
      <c r="B1386"/>
      <c r="C1386"/>
      <c r="D1386"/>
      <c r="E1386"/>
      <c r="F1386"/>
      <c r="G1386" s="120"/>
      <c r="H1386" s="120"/>
      <c r="I1386"/>
    </row>
    <row r="1387" spans="1:9" ht="12.75">
      <c r="A1387"/>
      <c r="B1387"/>
      <c r="C1387"/>
      <c r="D1387"/>
      <c r="E1387"/>
      <c r="F1387"/>
      <c r="G1387" s="120"/>
      <c r="H1387" s="120"/>
      <c r="I1387"/>
    </row>
    <row r="1388" spans="1:9" ht="12.75">
      <c r="A1388"/>
      <c r="B1388"/>
      <c r="C1388"/>
      <c r="D1388"/>
      <c r="E1388"/>
      <c r="F1388"/>
      <c r="G1388" s="120"/>
      <c r="H1388" s="120"/>
      <c r="I1388"/>
    </row>
    <row r="1389" spans="1:9" ht="12.75">
      <c r="A1389"/>
      <c r="B1389"/>
      <c r="C1389"/>
      <c r="D1389"/>
      <c r="E1389"/>
      <c r="F1389"/>
      <c r="G1389" s="120"/>
      <c r="H1389" s="120"/>
      <c r="I1389"/>
    </row>
    <row r="1390" spans="1:9" ht="12.75">
      <c r="A1390"/>
      <c r="B1390"/>
      <c r="C1390"/>
      <c r="D1390"/>
      <c r="E1390"/>
      <c r="F1390"/>
      <c r="G1390" s="120"/>
      <c r="H1390" s="120"/>
      <c r="I1390"/>
    </row>
    <row r="1391" spans="1:9" ht="12.75">
      <c r="A1391"/>
      <c r="B1391"/>
      <c r="C1391"/>
      <c r="D1391"/>
      <c r="E1391"/>
      <c r="F1391"/>
      <c r="G1391" s="120"/>
      <c r="H1391" s="120"/>
      <c r="I1391"/>
    </row>
    <row r="1392" spans="1:9" ht="12.75">
      <c r="A1392"/>
      <c r="B1392"/>
      <c r="C1392"/>
      <c r="D1392"/>
      <c r="E1392"/>
      <c r="F1392"/>
      <c r="G1392" s="120"/>
      <c r="H1392" s="120"/>
      <c r="I1392"/>
    </row>
    <row r="1393" spans="1:9" ht="12.75">
      <c r="A1393"/>
      <c r="B1393"/>
      <c r="C1393"/>
      <c r="D1393"/>
      <c r="E1393"/>
      <c r="F1393"/>
      <c r="G1393" s="120"/>
      <c r="H1393" s="120"/>
      <c r="I1393"/>
    </row>
    <row r="1394" spans="1:9" ht="12.75">
      <c r="A1394"/>
      <c r="B1394"/>
      <c r="C1394"/>
      <c r="D1394"/>
      <c r="E1394"/>
      <c r="F1394"/>
      <c r="G1394" s="120"/>
      <c r="H1394" s="120"/>
      <c r="I1394"/>
    </row>
    <row r="1395" spans="1:9" ht="12.75">
      <c r="A1395"/>
      <c r="B1395"/>
      <c r="C1395"/>
      <c r="D1395"/>
      <c r="E1395"/>
      <c r="F1395"/>
      <c r="G1395" s="120"/>
      <c r="H1395" s="120"/>
      <c r="I1395"/>
    </row>
    <row r="1396" spans="1:9" ht="12.75">
      <c r="A1396"/>
      <c r="B1396"/>
      <c r="C1396"/>
      <c r="D1396"/>
      <c r="E1396"/>
      <c r="F1396"/>
      <c r="G1396" s="120"/>
      <c r="H1396" s="120"/>
      <c r="I1396"/>
    </row>
    <row r="1397" spans="1:9" ht="12.75">
      <c r="A1397"/>
      <c r="B1397"/>
      <c r="C1397"/>
      <c r="D1397"/>
      <c r="E1397"/>
      <c r="F1397"/>
      <c r="G1397" s="120"/>
      <c r="H1397" s="120"/>
      <c r="I1397"/>
    </row>
    <row r="1398" spans="1:9" ht="12.75">
      <c r="A1398"/>
      <c r="B1398"/>
      <c r="C1398"/>
      <c r="D1398"/>
      <c r="E1398"/>
      <c r="F1398"/>
      <c r="G1398" s="120"/>
      <c r="H1398" s="120"/>
      <c r="I1398"/>
    </row>
    <row r="1399" spans="1:9" ht="12.75">
      <c r="A1399"/>
      <c r="B1399"/>
      <c r="C1399"/>
      <c r="D1399"/>
      <c r="E1399"/>
      <c r="F1399"/>
      <c r="G1399" s="120"/>
      <c r="H1399" s="120"/>
      <c r="I1399"/>
    </row>
    <row r="1400" spans="1:9" ht="12.75">
      <c r="A1400"/>
      <c r="B1400"/>
      <c r="C1400"/>
      <c r="D1400"/>
      <c r="E1400"/>
      <c r="F1400"/>
      <c r="G1400" s="120"/>
      <c r="H1400" s="120"/>
      <c r="I1400"/>
    </row>
    <row r="1401" spans="1:9" ht="12.75">
      <c r="A1401"/>
      <c r="B1401"/>
      <c r="C1401"/>
      <c r="D1401"/>
      <c r="E1401"/>
      <c r="F1401"/>
      <c r="G1401" s="120"/>
      <c r="H1401" s="120"/>
      <c r="I1401"/>
    </row>
    <row r="1402" spans="1:9" ht="12.75">
      <c r="A1402"/>
      <c r="B1402"/>
      <c r="C1402"/>
      <c r="D1402"/>
      <c r="E1402"/>
      <c r="F1402"/>
      <c r="G1402" s="120"/>
      <c r="H1402" s="120"/>
      <c r="I1402"/>
    </row>
    <row r="1403" spans="1:9" ht="12.75">
      <c r="A1403"/>
      <c r="B1403"/>
      <c r="C1403"/>
      <c r="D1403"/>
      <c r="E1403"/>
      <c r="F1403"/>
      <c r="G1403" s="120"/>
      <c r="H1403" s="120"/>
      <c r="I1403"/>
    </row>
    <row r="1404" spans="1:9" ht="12.75">
      <c r="A1404"/>
      <c r="B1404"/>
      <c r="C1404"/>
      <c r="D1404"/>
      <c r="E1404"/>
      <c r="F1404"/>
      <c r="G1404" s="120"/>
      <c r="H1404" s="120"/>
      <c r="I1404"/>
    </row>
    <row r="1405" spans="1:9" ht="12.75">
      <c r="A1405"/>
      <c r="B1405"/>
      <c r="C1405"/>
      <c r="D1405"/>
      <c r="E1405"/>
      <c r="F1405"/>
      <c r="G1405" s="120"/>
      <c r="H1405" s="120"/>
      <c r="I1405"/>
    </row>
    <row r="1406" spans="1:9" ht="12.75">
      <c r="A1406"/>
      <c r="B1406"/>
      <c r="C1406"/>
      <c r="D1406"/>
      <c r="E1406"/>
      <c r="F1406"/>
      <c r="G1406" s="120"/>
      <c r="H1406" s="120"/>
      <c r="I1406"/>
    </row>
    <row r="1407" spans="1:9" ht="12.75">
      <c r="A1407"/>
      <c r="B1407"/>
      <c r="C1407"/>
      <c r="D1407"/>
      <c r="E1407"/>
      <c r="F1407"/>
      <c r="G1407" s="120"/>
      <c r="H1407" s="120"/>
      <c r="I1407"/>
    </row>
    <row r="1408" spans="1:9" ht="12.75">
      <c r="A1408"/>
      <c r="B1408"/>
      <c r="C1408"/>
      <c r="D1408"/>
      <c r="E1408"/>
      <c r="F1408"/>
      <c r="G1408" s="120"/>
      <c r="H1408" s="120"/>
      <c r="I1408"/>
    </row>
    <row r="1409" spans="1:9" ht="12.75">
      <c r="A1409"/>
      <c r="B1409"/>
      <c r="C1409"/>
      <c r="D1409"/>
      <c r="E1409"/>
      <c r="F1409"/>
      <c r="G1409" s="120"/>
      <c r="H1409" s="120"/>
      <c r="I1409"/>
    </row>
    <row r="1410" spans="1:9" ht="12.75">
      <c r="A1410"/>
      <c r="B1410"/>
      <c r="C1410"/>
      <c r="D1410"/>
      <c r="E1410"/>
      <c r="F1410"/>
      <c r="G1410" s="120"/>
      <c r="H1410" s="120"/>
      <c r="I1410"/>
    </row>
    <row r="1411" spans="1:9" ht="12.75">
      <c r="A1411"/>
      <c r="B1411"/>
      <c r="C1411"/>
      <c r="D1411"/>
      <c r="E1411"/>
      <c r="F1411"/>
      <c r="G1411" s="120"/>
      <c r="H1411" s="120"/>
      <c r="I1411"/>
    </row>
    <row r="1412" spans="1:9" ht="12.75">
      <c r="A1412"/>
      <c r="B1412"/>
      <c r="C1412"/>
      <c r="D1412"/>
      <c r="E1412"/>
      <c r="F1412"/>
      <c r="G1412" s="120"/>
      <c r="H1412" s="120"/>
      <c r="I1412"/>
    </row>
    <row r="1413" spans="1:9" ht="12.75">
      <c r="A1413"/>
      <c r="B1413"/>
      <c r="C1413"/>
      <c r="D1413"/>
      <c r="E1413"/>
      <c r="F1413"/>
      <c r="G1413" s="120"/>
      <c r="H1413" s="120"/>
      <c r="I1413"/>
    </row>
    <row r="1414" spans="1:9" ht="12.75">
      <c r="A1414"/>
      <c r="B1414"/>
      <c r="C1414"/>
      <c r="D1414"/>
      <c r="E1414"/>
      <c r="F1414"/>
      <c r="G1414" s="120"/>
      <c r="H1414" s="120"/>
      <c r="I1414"/>
    </row>
    <row r="1415" spans="1:9" ht="12.75">
      <c r="A1415"/>
      <c r="B1415"/>
      <c r="C1415"/>
      <c r="D1415"/>
      <c r="E1415"/>
      <c r="F1415"/>
      <c r="G1415" s="120"/>
      <c r="H1415" s="120"/>
      <c r="I1415"/>
    </row>
    <row r="1416" spans="1:9" ht="12.75">
      <c r="A1416"/>
      <c r="B1416"/>
      <c r="C1416"/>
      <c r="D1416"/>
      <c r="E1416"/>
      <c r="F1416"/>
      <c r="G1416" s="120"/>
      <c r="H1416" s="120"/>
      <c r="I1416"/>
    </row>
    <row r="1417" spans="1:9" ht="12.75">
      <c r="A1417"/>
      <c r="B1417"/>
      <c r="C1417"/>
      <c r="D1417"/>
      <c r="E1417"/>
      <c r="F1417"/>
      <c r="G1417" s="120"/>
      <c r="H1417" s="120"/>
      <c r="I1417"/>
    </row>
    <row r="1418" spans="1:9" ht="12.75">
      <c r="A1418"/>
      <c r="B1418"/>
      <c r="C1418"/>
      <c r="D1418"/>
      <c r="E1418"/>
      <c r="F1418"/>
      <c r="G1418" s="120"/>
      <c r="H1418" s="120"/>
      <c r="I1418"/>
    </row>
    <row r="1419" spans="1:9" ht="12.75">
      <c r="A1419"/>
      <c r="B1419"/>
      <c r="C1419"/>
      <c r="D1419"/>
      <c r="E1419"/>
      <c r="F1419"/>
      <c r="G1419" s="120"/>
      <c r="H1419" s="120"/>
      <c r="I1419"/>
    </row>
    <row r="1420" spans="1:9" ht="12.75">
      <c r="A1420"/>
      <c r="B1420"/>
      <c r="C1420"/>
      <c r="D1420"/>
      <c r="E1420"/>
      <c r="F1420"/>
      <c r="G1420" s="120"/>
      <c r="H1420" s="120"/>
      <c r="I1420"/>
    </row>
    <row r="1421" spans="1:9" ht="12.75">
      <c r="A1421"/>
      <c r="B1421"/>
      <c r="C1421"/>
      <c r="D1421"/>
      <c r="E1421"/>
      <c r="F1421"/>
      <c r="G1421" s="120"/>
      <c r="H1421" s="120"/>
      <c r="I1421"/>
    </row>
    <row r="1422" spans="1:9" ht="12.75">
      <c r="A1422"/>
      <c r="B1422"/>
      <c r="C1422"/>
      <c r="D1422"/>
      <c r="E1422"/>
      <c r="F1422"/>
      <c r="G1422" s="120"/>
      <c r="H1422" s="120"/>
      <c r="I1422"/>
    </row>
    <row r="1423" spans="1:9" ht="12.75">
      <c r="A1423"/>
      <c r="B1423"/>
      <c r="C1423"/>
      <c r="D1423"/>
      <c r="E1423"/>
      <c r="F1423"/>
      <c r="G1423" s="120"/>
      <c r="H1423" s="120"/>
      <c r="I1423"/>
    </row>
    <row r="1424" spans="1:9" ht="12.75">
      <c r="A1424"/>
      <c r="B1424"/>
      <c r="C1424"/>
      <c r="D1424"/>
      <c r="E1424"/>
      <c r="F1424"/>
      <c r="G1424" s="120"/>
      <c r="H1424" s="120"/>
      <c r="I1424"/>
    </row>
    <row r="1425" spans="1:9" ht="12.75">
      <c r="A1425"/>
      <c r="B1425"/>
      <c r="C1425"/>
      <c r="D1425"/>
      <c r="E1425"/>
      <c r="F1425"/>
      <c r="G1425" s="120"/>
      <c r="H1425" s="120"/>
      <c r="I1425"/>
    </row>
    <row r="1426" spans="1:9" ht="12.75">
      <c r="A1426"/>
      <c r="B1426"/>
      <c r="C1426"/>
      <c r="D1426"/>
      <c r="E1426"/>
      <c r="F1426"/>
      <c r="G1426" s="120"/>
      <c r="H1426" s="120"/>
      <c r="I1426"/>
    </row>
    <row r="1427" spans="1:9" ht="12.75">
      <c r="A1427"/>
      <c r="B1427"/>
      <c r="C1427"/>
      <c r="D1427"/>
      <c r="E1427"/>
      <c r="F1427"/>
      <c r="G1427" s="120"/>
      <c r="H1427" s="120"/>
      <c r="I1427"/>
    </row>
    <row r="1428" spans="1:9" ht="12.75">
      <c r="A1428"/>
      <c r="B1428"/>
      <c r="C1428"/>
      <c r="D1428"/>
      <c r="E1428"/>
      <c r="F1428"/>
      <c r="G1428" s="120"/>
      <c r="H1428" s="120"/>
      <c r="I1428"/>
    </row>
    <row r="1429" spans="1:9" ht="12.75">
      <c r="A1429"/>
      <c r="B1429"/>
      <c r="C1429"/>
      <c r="D1429"/>
      <c r="E1429"/>
      <c r="F1429"/>
      <c r="G1429" s="120"/>
      <c r="H1429" s="120"/>
      <c r="I1429"/>
    </row>
    <row r="1430" spans="1:9" ht="12.75">
      <c r="A1430"/>
      <c r="B1430"/>
      <c r="C1430"/>
      <c r="D1430"/>
      <c r="E1430"/>
      <c r="F1430"/>
      <c r="G1430" s="120"/>
      <c r="H1430" s="120"/>
      <c r="I1430"/>
    </row>
    <row r="1431" spans="1:9" ht="12.75">
      <c r="A1431"/>
      <c r="B1431"/>
      <c r="C1431"/>
      <c r="D1431"/>
      <c r="E1431"/>
      <c r="F1431"/>
      <c r="G1431" s="120"/>
      <c r="H1431" s="120"/>
      <c r="I1431"/>
    </row>
    <row r="1432" spans="1:9" ht="12.75">
      <c r="A1432"/>
      <c r="B1432"/>
      <c r="C1432"/>
      <c r="D1432"/>
      <c r="E1432"/>
      <c r="F1432"/>
      <c r="G1432" s="120"/>
      <c r="H1432" s="120"/>
      <c r="I1432"/>
    </row>
    <row r="1433" spans="1:9" ht="12.75">
      <c r="A1433"/>
      <c r="B1433"/>
      <c r="C1433"/>
      <c r="D1433"/>
      <c r="E1433"/>
      <c r="F1433"/>
      <c r="G1433" s="120"/>
      <c r="H1433" s="120"/>
      <c r="I1433"/>
    </row>
    <row r="1434" spans="1:9" ht="12.75">
      <c r="A1434"/>
      <c r="B1434"/>
      <c r="C1434"/>
      <c r="D1434"/>
      <c r="E1434"/>
      <c r="F1434"/>
      <c r="G1434" s="120"/>
      <c r="H1434" s="120"/>
      <c r="I1434"/>
    </row>
    <row r="1435" spans="1:9" ht="12.75">
      <c r="A1435"/>
      <c r="B1435"/>
      <c r="C1435"/>
      <c r="D1435"/>
      <c r="E1435"/>
      <c r="F1435"/>
      <c r="G1435" s="120"/>
      <c r="H1435" s="120"/>
      <c r="I1435"/>
    </row>
    <row r="1436" spans="1:9" ht="12.75">
      <c r="A1436"/>
      <c r="B1436"/>
      <c r="C1436"/>
      <c r="D1436"/>
      <c r="E1436"/>
      <c r="F1436"/>
      <c r="G1436" s="120"/>
      <c r="H1436" s="120"/>
      <c r="I1436"/>
    </row>
    <row r="1437" spans="1:9" ht="12.75">
      <c r="A1437"/>
      <c r="B1437"/>
      <c r="C1437"/>
      <c r="D1437"/>
      <c r="E1437"/>
      <c r="F1437"/>
      <c r="G1437" s="120"/>
      <c r="H1437" s="120"/>
      <c r="I1437"/>
    </row>
    <row r="1438" spans="1:9" ht="12.75">
      <c r="A1438"/>
      <c r="B1438"/>
      <c r="C1438"/>
      <c r="D1438"/>
      <c r="E1438"/>
      <c r="F1438"/>
      <c r="G1438" s="120"/>
      <c r="H1438" s="120"/>
      <c r="I1438"/>
    </row>
    <row r="1439" spans="1:9" ht="12.75">
      <c r="A1439"/>
      <c r="B1439"/>
      <c r="C1439"/>
      <c r="D1439"/>
      <c r="E1439"/>
      <c r="F1439"/>
      <c r="G1439" s="120"/>
      <c r="H1439" s="120"/>
      <c r="I1439"/>
    </row>
    <row r="1440" spans="1:9" ht="12.75">
      <c r="A1440"/>
      <c r="B1440"/>
      <c r="C1440"/>
      <c r="D1440"/>
      <c r="E1440"/>
      <c r="F1440"/>
      <c r="G1440" s="120"/>
      <c r="H1440" s="120"/>
      <c r="I1440"/>
    </row>
    <row r="1441" spans="1:9" ht="12.75">
      <c r="A1441"/>
      <c r="B1441"/>
      <c r="C1441"/>
      <c r="D1441"/>
      <c r="E1441"/>
      <c r="F1441"/>
      <c r="G1441" s="120"/>
      <c r="H1441" s="120"/>
      <c r="I1441"/>
    </row>
    <row r="1442" spans="1:9" ht="12.75">
      <c r="A1442"/>
      <c r="B1442"/>
      <c r="C1442"/>
      <c r="D1442"/>
      <c r="E1442"/>
      <c r="F1442"/>
      <c r="G1442" s="120"/>
      <c r="H1442" s="120"/>
      <c r="I1442"/>
    </row>
    <row r="1443" spans="1:9" ht="12.75">
      <c r="A1443"/>
      <c r="B1443"/>
      <c r="C1443"/>
      <c r="D1443"/>
      <c r="E1443"/>
      <c r="F1443"/>
      <c r="G1443" s="120"/>
      <c r="H1443" s="120"/>
      <c r="I1443"/>
    </row>
    <row r="1444" spans="1:9" ht="12.75">
      <c r="A1444"/>
      <c r="B1444"/>
      <c r="C1444"/>
      <c r="D1444"/>
      <c r="E1444"/>
      <c r="F1444"/>
      <c r="G1444" s="120"/>
      <c r="H1444" s="120"/>
      <c r="I1444"/>
    </row>
    <row r="1445" spans="1:9" ht="12.75">
      <c r="A1445"/>
      <c r="B1445"/>
      <c r="C1445"/>
      <c r="D1445"/>
      <c r="E1445"/>
      <c r="F1445"/>
      <c r="G1445" s="120"/>
      <c r="H1445" s="120"/>
      <c r="I1445"/>
    </row>
    <row r="1446" spans="1:9" ht="12.75">
      <c r="A1446"/>
      <c r="B1446"/>
      <c r="C1446"/>
      <c r="D1446"/>
      <c r="E1446"/>
      <c r="F1446"/>
      <c r="G1446" s="120"/>
      <c r="H1446" s="120"/>
      <c r="I1446"/>
    </row>
    <row r="1447" spans="1:9" ht="12.75">
      <c r="A1447"/>
      <c r="B1447"/>
      <c r="C1447"/>
      <c r="D1447"/>
      <c r="E1447"/>
      <c r="F1447"/>
      <c r="G1447" s="120"/>
      <c r="H1447" s="120"/>
      <c r="I1447"/>
    </row>
    <row r="1448" spans="1:9" ht="12.75">
      <c r="A1448"/>
      <c r="B1448"/>
      <c r="C1448"/>
      <c r="D1448"/>
      <c r="E1448"/>
      <c r="F1448"/>
      <c r="G1448" s="120"/>
      <c r="H1448" s="120"/>
      <c r="I1448"/>
    </row>
    <row r="1449" spans="1:9" ht="12.75">
      <c r="A1449"/>
      <c r="B1449"/>
      <c r="C1449"/>
      <c r="D1449"/>
      <c r="E1449"/>
      <c r="F1449"/>
      <c r="G1449" s="120"/>
      <c r="H1449" s="120"/>
      <c r="I1449"/>
    </row>
    <row r="1450" spans="1:9" ht="12.75">
      <c r="A1450"/>
      <c r="B1450"/>
      <c r="C1450"/>
      <c r="D1450"/>
      <c r="E1450"/>
      <c r="F1450"/>
      <c r="G1450" s="120"/>
      <c r="H1450" s="120"/>
      <c r="I1450"/>
    </row>
    <row r="1451" spans="1:9" ht="12.75">
      <c r="A1451"/>
      <c r="B1451"/>
      <c r="C1451"/>
      <c r="D1451"/>
      <c r="E1451"/>
      <c r="F1451"/>
      <c r="G1451" s="120"/>
      <c r="H1451" s="120"/>
      <c r="I1451"/>
    </row>
    <row r="1452" spans="1:9" ht="12.75">
      <c r="A1452"/>
      <c r="B1452"/>
      <c r="C1452"/>
      <c r="D1452"/>
      <c r="E1452"/>
      <c r="F1452"/>
      <c r="G1452" s="120"/>
      <c r="H1452" s="120"/>
      <c r="I1452"/>
    </row>
    <row r="1453" spans="1:9" ht="12.75">
      <c r="A1453"/>
      <c r="B1453"/>
      <c r="C1453"/>
      <c r="D1453"/>
      <c r="E1453"/>
      <c r="F1453"/>
      <c r="G1453" s="120"/>
      <c r="H1453" s="120"/>
      <c r="I1453"/>
    </row>
    <row r="1454" spans="1:9" ht="12.75">
      <c r="A1454"/>
      <c r="B1454"/>
      <c r="C1454"/>
      <c r="D1454"/>
      <c r="E1454"/>
      <c r="F1454"/>
      <c r="G1454" s="120"/>
      <c r="H1454" s="120"/>
      <c r="I1454"/>
    </row>
    <row r="1455" spans="1:9" ht="12.75">
      <c r="A1455"/>
      <c r="B1455"/>
      <c r="C1455"/>
      <c r="D1455"/>
      <c r="E1455"/>
      <c r="F1455"/>
      <c r="G1455" s="120"/>
      <c r="H1455" s="120"/>
      <c r="I1455"/>
    </row>
    <row r="1456" spans="1:9" ht="12.75">
      <c r="A1456"/>
      <c r="B1456"/>
      <c r="C1456"/>
      <c r="D1456"/>
      <c r="E1456"/>
      <c r="F1456"/>
      <c r="G1456" s="120"/>
      <c r="H1456" s="120"/>
      <c r="I1456"/>
    </row>
    <row r="1457" spans="1:9" ht="12.75">
      <c r="A1457"/>
      <c r="B1457"/>
      <c r="C1457"/>
      <c r="D1457"/>
      <c r="E1457"/>
      <c r="F1457"/>
      <c r="G1457" s="120"/>
      <c r="H1457" s="120"/>
      <c r="I1457"/>
    </row>
    <row r="1458" spans="1:9" ht="12.75">
      <c r="A1458"/>
      <c r="B1458"/>
      <c r="C1458"/>
      <c r="D1458"/>
      <c r="E1458"/>
      <c r="F1458"/>
      <c r="G1458" s="120"/>
      <c r="H1458" s="120"/>
      <c r="I1458"/>
    </row>
    <row r="1459" spans="1:9" ht="12.75">
      <c r="A1459"/>
      <c r="B1459"/>
      <c r="C1459"/>
      <c r="D1459"/>
      <c r="E1459"/>
      <c r="F1459"/>
      <c r="G1459" s="120"/>
      <c r="H1459" s="120"/>
      <c r="I1459"/>
    </row>
    <row r="1460" spans="1:9" ht="12.75">
      <c r="A1460"/>
      <c r="B1460"/>
      <c r="C1460"/>
      <c r="D1460"/>
      <c r="E1460"/>
      <c r="F1460"/>
      <c r="G1460" s="120"/>
      <c r="H1460" s="120"/>
      <c r="I1460"/>
    </row>
    <row r="1461" spans="1:9" ht="12.75">
      <c r="A1461"/>
      <c r="B1461"/>
      <c r="C1461"/>
      <c r="D1461"/>
      <c r="E1461"/>
      <c r="F1461"/>
      <c r="G1461" s="120"/>
      <c r="H1461" s="120"/>
      <c r="I1461"/>
    </row>
    <row r="1462" spans="1:9" ht="12.75">
      <c r="A1462"/>
      <c r="B1462"/>
      <c r="C1462"/>
      <c r="D1462"/>
      <c r="E1462"/>
      <c r="F1462"/>
      <c r="G1462" s="120"/>
      <c r="H1462" s="120"/>
      <c r="I1462"/>
    </row>
    <row r="1463" spans="1:9" ht="12.75">
      <c r="A1463"/>
      <c r="B1463"/>
      <c r="C1463"/>
      <c r="D1463"/>
      <c r="E1463"/>
      <c r="F1463"/>
      <c r="G1463" s="120"/>
      <c r="H1463" s="120"/>
      <c r="I1463"/>
    </row>
    <row r="1464" spans="1:9" ht="12.75">
      <c r="A1464"/>
      <c r="B1464"/>
      <c r="C1464"/>
      <c r="D1464"/>
      <c r="E1464"/>
      <c r="F1464"/>
      <c r="G1464" s="120"/>
      <c r="H1464" s="120"/>
      <c r="I1464"/>
    </row>
    <row r="1465" spans="1:9" ht="12.75">
      <c r="A1465"/>
      <c r="B1465"/>
      <c r="C1465"/>
      <c r="D1465"/>
      <c r="E1465"/>
      <c r="F1465"/>
      <c r="G1465" s="120"/>
      <c r="H1465" s="120"/>
      <c r="I1465"/>
    </row>
    <row r="1466" spans="1:9" ht="12.75">
      <c r="A1466"/>
      <c r="B1466"/>
      <c r="C1466"/>
      <c r="D1466"/>
      <c r="E1466"/>
      <c r="F1466"/>
      <c r="G1466" s="120"/>
      <c r="H1466" s="120"/>
      <c r="I1466"/>
    </row>
    <row r="1467" spans="1:9" ht="12.75">
      <c r="A1467"/>
      <c r="B1467"/>
      <c r="C1467"/>
      <c r="D1467"/>
      <c r="E1467"/>
      <c r="F1467"/>
      <c r="G1467" s="120"/>
      <c r="H1467" s="120"/>
      <c r="I1467"/>
    </row>
    <row r="1468" spans="1:9" ht="12.75">
      <c r="A1468"/>
      <c r="B1468"/>
      <c r="C1468"/>
      <c r="D1468"/>
      <c r="E1468"/>
      <c r="F1468"/>
      <c r="G1468" s="120"/>
      <c r="H1468" s="120"/>
      <c r="I1468"/>
    </row>
    <row r="1469" spans="1:9" ht="12.75">
      <c r="A1469"/>
      <c r="B1469"/>
      <c r="C1469"/>
      <c r="D1469"/>
      <c r="E1469"/>
      <c r="F1469"/>
      <c r="G1469" s="120"/>
      <c r="H1469" s="120"/>
      <c r="I1469"/>
    </row>
    <row r="1470" spans="1:9" ht="12.75">
      <c r="A1470"/>
      <c r="B1470"/>
      <c r="C1470"/>
      <c r="D1470"/>
      <c r="E1470"/>
      <c r="F1470"/>
      <c r="G1470" s="120"/>
      <c r="H1470" s="120"/>
      <c r="I1470"/>
    </row>
    <row r="1471" spans="1:9" ht="12.75">
      <c r="A1471"/>
      <c r="B1471"/>
      <c r="C1471"/>
      <c r="D1471"/>
      <c r="E1471"/>
      <c r="F1471"/>
      <c r="G1471" s="120"/>
      <c r="H1471" s="120"/>
      <c r="I1471"/>
    </row>
    <row r="1472" spans="1:9" ht="12.75">
      <c r="A1472"/>
      <c r="B1472"/>
      <c r="C1472"/>
      <c r="D1472"/>
      <c r="E1472"/>
      <c r="F1472"/>
      <c r="G1472" s="120"/>
      <c r="H1472" s="120"/>
      <c r="I1472"/>
    </row>
    <row r="1473" spans="1:9" ht="12.75">
      <c r="A1473"/>
      <c r="B1473"/>
      <c r="C1473"/>
      <c r="D1473"/>
      <c r="E1473"/>
      <c r="F1473"/>
      <c r="G1473" s="120"/>
      <c r="H1473" s="120"/>
      <c r="I1473"/>
    </row>
    <row r="1474" spans="1:9" ht="12.75">
      <c r="A1474"/>
      <c r="B1474"/>
      <c r="C1474"/>
      <c r="D1474"/>
      <c r="E1474"/>
      <c r="F1474"/>
      <c r="G1474" s="120"/>
      <c r="H1474" s="120"/>
      <c r="I1474"/>
    </row>
    <row r="1475" spans="1:9" ht="12.75">
      <c r="A1475"/>
      <c r="B1475"/>
      <c r="C1475"/>
      <c r="D1475"/>
      <c r="E1475"/>
      <c r="F1475"/>
      <c r="G1475" s="120"/>
      <c r="H1475" s="120"/>
      <c r="I1475"/>
    </row>
    <row r="1476" spans="1:9" ht="12.75">
      <c r="A1476"/>
      <c r="B1476"/>
      <c r="C1476"/>
      <c r="D1476"/>
      <c r="E1476"/>
      <c r="F1476"/>
      <c r="G1476" s="120"/>
      <c r="H1476" s="120"/>
      <c r="I1476"/>
    </row>
    <row r="1477" spans="1:9" ht="12.75">
      <c r="A1477"/>
      <c r="B1477"/>
      <c r="C1477"/>
      <c r="D1477"/>
      <c r="E1477"/>
      <c r="F1477"/>
      <c r="G1477" s="120"/>
      <c r="H1477" s="120"/>
      <c r="I1477"/>
    </row>
    <row r="1478" spans="1:9" ht="12.75">
      <c r="A1478"/>
      <c r="B1478"/>
      <c r="C1478"/>
      <c r="D1478"/>
      <c r="E1478"/>
      <c r="F1478"/>
      <c r="G1478" s="120"/>
      <c r="H1478" s="120"/>
      <c r="I1478"/>
    </row>
    <row r="1479" spans="1:9" ht="12.75">
      <c r="A1479"/>
      <c r="B1479"/>
      <c r="C1479"/>
      <c r="D1479"/>
      <c r="E1479"/>
      <c r="F1479"/>
      <c r="G1479" s="120"/>
      <c r="H1479" s="120"/>
      <c r="I1479"/>
    </row>
    <row r="1480" spans="1:9" ht="12.75">
      <c r="A1480"/>
      <c r="B1480"/>
      <c r="C1480"/>
      <c r="D1480"/>
      <c r="E1480"/>
      <c r="F1480"/>
      <c r="G1480" s="120"/>
      <c r="H1480" s="120"/>
      <c r="I1480"/>
    </row>
    <row r="1481" spans="1:9" ht="12.75">
      <c r="A1481"/>
      <c r="B1481"/>
      <c r="C1481"/>
      <c r="D1481"/>
      <c r="E1481"/>
      <c r="F1481"/>
      <c r="G1481" s="120"/>
      <c r="H1481" s="120"/>
      <c r="I1481"/>
    </row>
    <row r="1482" spans="1:9" ht="12.75">
      <c r="A1482"/>
      <c r="B1482"/>
      <c r="C1482"/>
      <c r="D1482"/>
      <c r="E1482"/>
      <c r="F1482"/>
      <c r="G1482" s="120"/>
      <c r="H1482" s="120"/>
      <c r="I1482"/>
    </row>
    <row r="1483" spans="1:9" ht="12.75">
      <c r="A1483"/>
      <c r="B1483"/>
      <c r="C1483"/>
      <c r="D1483"/>
      <c r="E1483"/>
      <c r="F1483"/>
      <c r="G1483" s="120"/>
      <c r="H1483" s="120"/>
      <c r="I1483"/>
    </row>
    <row r="1484" spans="1:9" ht="12.75">
      <c r="A1484"/>
      <c r="B1484"/>
      <c r="C1484"/>
      <c r="D1484"/>
      <c r="E1484"/>
      <c r="F1484"/>
      <c r="G1484" s="120"/>
      <c r="H1484" s="120"/>
      <c r="I1484"/>
    </row>
    <row r="1485" spans="1:9" ht="12.75">
      <c r="A1485"/>
      <c r="B1485"/>
      <c r="C1485"/>
      <c r="D1485"/>
      <c r="E1485"/>
      <c r="F1485"/>
      <c r="G1485" s="120"/>
      <c r="H1485" s="120"/>
      <c r="I1485"/>
    </row>
    <row r="1486" spans="1:9" ht="12.75">
      <c r="A1486"/>
      <c r="B1486"/>
      <c r="C1486"/>
      <c r="D1486"/>
      <c r="E1486"/>
      <c r="F1486"/>
      <c r="G1486" s="120"/>
      <c r="H1486" s="120"/>
      <c r="I1486"/>
    </row>
    <row r="1487" spans="1:9" ht="12.75">
      <c r="A1487"/>
      <c r="B1487"/>
      <c r="C1487"/>
      <c r="D1487"/>
      <c r="E1487"/>
      <c r="F1487"/>
      <c r="G1487" s="120"/>
      <c r="H1487" s="120"/>
      <c r="I1487"/>
    </row>
    <row r="1488" spans="1:9" ht="12.75">
      <c r="A1488"/>
      <c r="B1488"/>
      <c r="C1488"/>
      <c r="D1488"/>
      <c r="E1488"/>
      <c r="F1488"/>
      <c r="G1488" s="120"/>
      <c r="H1488" s="120"/>
      <c r="I1488"/>
    </row>
    <row r="1489" spans="1:9" ht="12.75">
      <c r="A1489"/>
      <c r="B1489"/>
      <c r="C1489"/>
      <c r="D1489"/>
      <c r="E1489"/>
      <c r="F1489"/>
      <c r="G1489" s="120"/>
      <c r="H1489" s="120"/>
      <c r="I1489"/>
    </row>
    <row r="1490" spans="1:9" ht="12.75">
      <c r="A1490"/>
      <c r="B1490"/>
      <c r="C1490"/>
      <c r="D1490"/>
      <c r="E1490"/>
      <c r="F1490"/>
      <c r="G1490" s="120"/>
      <c r="H1490" s="120"/>
      <c r="I1490"/>
    </row>
    <row r="1491" spans="1:9" ht="12.75">
      <c r="A1491"/>
      <c r="B1491"/>
      <c r="C1491"/>
      <c r="D1491"/>
      <c r="E1491"/>
      <c r="F1491"/>
      <c r="G1491" s="120"/>
      <c r="H1491" s="120"/>
      <c r="I1491"/>
    </row>
    <row r="1492" spans="1:9" ht="12.75">
      <c r="A1492"/>
      <c r="B1492"/>
      <c r="C1492"/>
      <c r="D1492"/>
      <c r="E1492"/>
      <c r="F1492"/>
      <c r="G1492" s="120"/>
      <c r="H1492" s="120"/>
      <c r="I1492"/>
    </row>
    <row r="1493" spans="1:9" ht="12.75">
      <c r="A1493"/>
      <c r="B1493"/>
      <c r="C1493"/>
      <c r="D1493"/>
      <c r="E1493"/>
      <c r="F1493"/>
      <c r="G1493" s="120"/>
      <c r="H1493" s="120"/>
      <c r="I1493"/>
    </row>
    <row r="1494" spans="1:9" ht="12.75">
      <c r="A1494"/>
      <c r="B1494"/>
      <c r="C1494"/>
      <c r="D1494"/>
      <c r="E1494"/>
      <c r="F1494"/>
      <c r="G1494" s="120"/>
      <c r="H1494" s="120"/>
      <c r="I1494"/>
    </row>
    <row r="1495" spans="1:9" ht="12.75">
      <c r="A1495"/>
      <c r="B1495"/>
      <c r="C1495"/>
      <c r="D1495"/>
      <c r="E1495"/>
      <c r="F1495"/>
      <c r="G1495" s="120"/>
      <c r="H1495" s="120"/>
      <c r="I1495"/>
    </row>
    <row r="1496" spans="1:9" ht="12.75">
      <c r="A1496"/>
      <c r="B1496"/>
      <c r="C1496"/>
      <c r="D1496"/>
      <c r="E1496"/>
      <c r="F1496"/>
      <c r="G1496" s="120"/>
      <c r="H1496" s="120"/>
      <c r="I1496"/>
    </row>
    <row r="1497" spans="1:9" ht="12.75">
      <c r="A1497"/>
      <c r="B1497"/>
      <c r="C1497"/>
      <c r="D1497"/>
      <c r="E1497"/>
      <c r="F1497"/>
      <c r="G1497" s="120"/>
      <c r="H1497" s="120"/>
      <c r="I1497"/>
    </row>
    <row r="1498" spans="1:9" ht="12.75">
      <c r="A1498"/>
      <c r="B1498"/>
      <c r="C1498"/>
      <c r="D1498"/>
      <c r="E1498"/>
      <c r="F1498"/>
      <c r="G1498" s="120"/>
      <c r="H1498" s="120"/>
      <c r="I1498"/>
    </row>
    <row r="1499" spans="1:9" ht="12.75">
      <c r="A1499"/>
      <c r="B1499"/>
      <c r="C1499"/>
      <c r="D1499"/>
      <c r="E1499"/>
      <c r="F1499"/>
      <c r="G1499" s="120"/>
      <c r="H1499" s="120"/>
      <c r="I1499"/>
    </row>
    <row r="1500" spans="1:9" ht="12.75">
      <c r="A1500"/>
      <c r="B1500"/>
      <c r="C1500"/>
      <c r="D1500"/>
      <c r="E1500"/>
      <c r="F1500"/>
      <c r="G1500" s="120"/>
      <c r="H1500" s="120"/>
      <c r="I1500"/>
    </row>
    <row r="1501" spans="1:9" ht="12.75">
      <c r="A1501"/>
      <c r="B1501"/>
      <c r="C1501"/>
      <c r="D1501"/>
      <c r="E1501"/>
      <c r="F1501"/>
      <c r="G1501" s="120"/>
      <c r="H1501" s="120"/>
      <c r="I1501"/>
    </row>
    <row r="1502" spans="1:9" ht="12.75">
      <c r="A1502"/>
      <c r="B1502"/>
      <c r="C1502"/>
      <c r="D1502"/>
      <c r="E1502"/>
      <c r="F1502"/>
      <c r="G1502" s="120"/>
      <c r="H1502" s="120"/>
      <c r="I1502"/>
    </row>
    <row r="1503" spans="1:9" ht="12.75">
      <c r="A1503"/>
      <c r="B1503"/>
      <c r="C1503"/>
      <c r="D1503"/>
      <c r="E1503"/>
      <c r="F1503"/>
      <c r="G1503" s="120"/>
      <c r="H1503" s="120"/>
      <c r="I1503"/>
    </row>
    <row r="1504" spans="1:9" ht="12.75">
      <c r="A1504"/>
      <c r="B1504"/>
      <c r="C1504"/>
      <c r="D1504"/>
      <c r="E1504"/>
      <c r="F1504"/>
      <c r="G1504" s="120"/>
      <c r="H1504" s="120"/>
      <c r="I1504"/>
    </row>
    <row r="1505" spans="1:9" ht="12.75">
      <c r="A1505"/>
      <c r="B1505"/>
      <c r="C1505"/>
      <c r="D1505"/>
      <c r="E1505"/>
      <c r="F1505"/>
      <c r="G1505" s="120"/>
      <c r="H1505" s="120"/>
      <c r="I1505"/>
    </row>
    <row r="1506" spans="1:9" ht="12.75">
      <c r="A1506"/>
      <c r="B1506"/>
      <c r="C1506"/>
      <c r="D1506"/>
      <c r="E1506"/>
      <c r="F1506"/>
      <c r="G1506" s="120"/>
      <c r="H1506" s="120"/>
      <c r="I1506"/>
    </row>
    <row r="1507" spans="1:9" ht="12.75">
      <c r="A1507"/>
      <c r="B1507"/>
      <c r="C1507"/>
      <c r="D1507"/>
      <c r="E1507"/>
      <c r="F1507"/>
      <c r="G1507" s="120"/>
      <c r="H1507" s="120"/>
      <c r="I1507"/>
    </row>
    <row r="1508" spans="1:9" ht="12.75">
      <c r="A1508"/>
      <c r="B1508"/>
      <c r="C1508"/>
      <c r="D1508"/>
      <c r="E1508"/>
      <c r="F1508"/>
      <c r="G1508" s="120"/>
      <c r="H1508" s="120"/>
      <c r="I1508"/>
    </row>
    <row r="1509" spans="1:9" ht="12.75">
      <c r="A1509"/>
      <c r="B1509"/>
      <c r="C1509"/>
      <c r="D1509"/>
      <c r="E1509"/>
      <c r="F1509"/>
      <c r="G1509" s="120"/>
      <c r="H1509" s="120"/>
      <c r="I1509"/>
    </row>
    <row r="1510" spans="1:9" ht="12.75">
      <c r="A1510"/>
      <c r="B1510"/>
      <c r="C1510"/>
      <c r="D1510"/>
      <c r="E1510"/>
      <c r="F1510"/>
      <c r="G1510" s="120"/>
      <c r="H1510" s="120"/>
      <c r="I1510"/>
    </row>
    <row r="1511" spans="1:9" ht="12.75">
      <c r="A1511"/>
      <c r="B1511"/>
      <c r="C1511"/>
      <c r="D1511"/>
      <c r="E1511"/>
      <c r="F1511"/>
      <c r="G1511" s="120"/>
      <c r="H1511" s="120"/>
      <c r="I1511"/>
    </row>
    <row r="1512" spans="1:9" ht="12.75">
      <c r="A1512"/>
      <c r="B1512"/>
      <c r="C1512"/>
      <c r="D1512"/>
      <c r="E1512"/>
      <c r="F1512"/>
      <c r="G1512" s="120"/>
      <c r="H1512" s="120"/>
      <c r="I1512"/>
    </row>
    <row r="1513" spans="1:9" ht="12.75">
      <c r="A1513"/>
      <c r="B1513"/>
      <c r="C1513"/>
      <c r="D1513"/>
      <c r="E1513"/>
      <c r="F1513"/>
      <c r="G1513" s="120"/>
      <c r="H1513" s="120"/>
      <c r="I1513"/>
    </row>
    <row r="1514" spans="1:9" ht="12.75">
      <c r="A1514"/>
      <c r="B1514"/>
      <c r="C1514"/>
      <c r="D1514"/>
      <c r="E1514"/>
      <c r="F1514"/>
      <c r="G1514" s="120"/>
      <c r="H1514" s="120"/>
      <c r="I1514"/>
    </row>
    <row r="1515" spans="1:9" ht="12.75">
      <c r="A1515"/>
      <c r="B1515"/>
      <c r="C1515"/>
      <c r="D1515"/>
      <c r="E1515"/>
      <c r="F1515"/>
      <c r="G1515" s="120"/>
      <c r="H1515" s="120"/>
      <c r="I1515"/>
    </row>
    <row r="1516" spans="1:9" ht="12.75">
      <c r="A1516"/>
      <c r="B1516"/>
      <c r="C1516"/>
      <c r="D1516"/>
      <c r="E1516"/>
      <c r="F1516"/>
      <c r="G1516" s="120"/>
      <c r="H1516" s="120"/>
      <c r="I1516"/>
    </row>
    <row r="1517" spans="1:9" ht="12.75">
      <c r="A1517"/>
      <c r="B1517"/>
      <c r="C1517"/>
      <c r="D1517"/>
      <c r="E1517"/>
      <c r="F1517"/>
      <c r="G1517" s="120"/>
      <c r="H1517" s="120"/>
      <c r="I1517"/>
    </row>
    <row r="1518" spans="1:9" ht="12.75">
      <c r="A1518"/>
      <c r="B1518"/>
      <c r="C1518"/>
      <c r="D1518"/>
      <c r="E1518"/>
      <c r="F1518"/>
      <c r="G1518" s="120"/>
      <c r="H1518" s="120"/>
      <c r="I1518"/>
    </row>
    <row r="1519" spans="1:9" ht="12.75">
      <c r="A1519"/>
      <c r="B1519"/>
      <c r="C1519"/>
      <c r="D1519"/>
      <c r="E1519"/>
      <c r="F1519"/>
      <c r="G1519" s="120"/>
      <c r="H1519" s="120"/>
      <c r="I1519"/>
    </row>
    <row r="1520" spans="1:9" ht="12.75">
      <c r="A1520"/>
      <c r="B1520"/>
      <c r="C1520"/>
      <c r="D1520"/>
      <c r="E1520"/>
      <c r="F1520"/>
      <c r="G1520" s="120"/>
      <c r="H1520" s="120"/>
      <c r="I1520"/>
    </row>
    <row r="1521" spans="1:9" ht="12.75">
      <c r="A1521"/>
      <c r="B1521"/>
      <c r="C1521"/>
      <c r="D1521"/>
      <c r="E1521"/>
      <c r="F1521"/>
      <c r="G1521" s="120"/>
      <c r="H1521" s="120"/>
      <c r="I1521"/>
    </row>
    <row r="1522" spans="1:9" ht="12.75">
      <c r="A1522"/>
      <c r="B1522"/>
      <c r="C1522"/>
      <c r="D1522"/>
      <c r="E1522"/>
      <c r="F1522"/>
      <c r="G1522" s="120"/>
      <c r="H1522" s="120"/>
      <c r="I1522"/>
    </row>
    <row r="1523" spans="1:9" ht="12.75">
      <c r="A1523"/>
      <c r="B1523"/>
      <c r="C1523"/>
      <c r="D1523"/>
      <c r="E1523"/>
      <c r="F1523"/>
      <c r="G1523" s="120"/>
      <c r="H1523" s="120"/>
      <c r="I1523"/>
    </row>
    <row r="1524" spans="1:9" ht="12.75">
      <c r="A1524"/>
      <c r="B1524"/>
      <c r="C1524"/>
      <c r="D1524"/>
      <c r="E1524"/>
      <c r="F1524"/>
      <c r="G1524" s="120"/>
      <c r="H1524" s="120"/>
      <c r="I1524"/>
    </row>
    <row r="1525" spans="1:9" ht="12.75">
      <c r="A1525"/>
      <c r="B1525"/>
      <c r="C1525"/>
      <c r="D1525"/>
      <c r="E1525"/>
      <c r="F1525"/>
      <c r="G1525" s="120"/>
      <c r="H1525" s="120"/>
      <c r="I1525"/>
    </row>
    <row r="1526" spans="1:9" ht="12.75">
      <c r="A1526"/>
      <c r="B1526"/>
      <c r="C1526"/>
      <c r="D1526"/>
      <c r="E1526"/>
      <c r="F1526"/>
      <c r="G1526" s="120"/>
      <c r="H1526" s="120"/>
      <c r="I1526"/>
    </row>
    <row r="1527" spans="1:9" ht="12.75">
      <c r="A1527"/>
      <c r="B1527"/>
      <c r="C1527"/>
      <c r="D1527"/>
      <c r="E1527"/>
      <c r="F1527"/>
      <c r="G1527" s="120"/>
      <c r="H1527" s="120"/>
      <c r="I1527"/>
    </row>
    <row r="1528" spans="1:9" ht="12.75">
      <c r="A1528"/>
      <c r="B1528"/>
      <c r="C1528"/>
      <c r="D1528"/>
      <c r="E1528"/>
      <c r="F1528"/>
      <c r="G1528" s="120"/>
      <c r="H1528" s="120"/>
      <c r="I1528"/>
    </row>
    <row r="1529" spans="1:9" ht="12.75">
      <c r="A1529"/>
      <c r="B1529"/>
      <c r="C1529"/>
      <c r="D1529"/>
      <c r="E1529"/>
      <c r="F1529"/>
      <c r="G1529" s="120"/>
      <c r="H1529" s="120"/>
      <c r="I1529"/>
    </row>
    <row r="1530" spans="1:9" ht="12.75">
      <c r="A1530"/>
      <c r="B1530"/>
      <c r="C1530"/>
      <c r="D1530"/>
      <c r="E1530"/>
      <c r="F1530"/>
      <c r="G1530" s="120"/>
      <c r="H1530" s="120"/>
      <c r="I1530"/>
    </row>
    <row r="1531" spans="1:9" ht="12.75">
      <c r="A1531"/>
      <c r="B1531"/>
      <c r="C1531"/>
      <c r="D1531"/>
      <c r="E1531"/>
      <c r="F1531"/>
      <c r="G1531" s="120"/>
      <c r="H1531" s="120"/>
      <c r="I1531"/>
    </row>
    <row r="1532" spans="1:9" ht="12.75">
      <c r="A1532"/>
      <c r="B1532"/>
      <c r="C1532"/>
      <c r="D1532"/>
      <c r="E1532"/>
      <c r="F1532"/>
      <c r="G1532" s="120"/>
      <c r="H1532" s="120"/>
      <c r="I1532"/>
    </row>
    <row r="1533" spans="1:9" ht="12.75">
      <c r="A1533"/>
      <c r="B1533"/>
      <c r="C1533"/>
      <c r="D1533"/>
      <c r="E1533"/>
      <c r="F1533"/>
      <c r="G1533" s="120"/>
      <c r="H1533" s="120"/>
      <c r="I1533"/>
    </row>
    <row r="1534" spans="1:9" ht="12.75">
      <c r="A1534"/>
      <c r="B1534"/>
      <c r="C1534"/>
      <c r="D1534"/>
      <c r="E1534"/>
      <c r="F1534"/>
      <c r="G1534" s="120"/>
      <c r="H1534" s="120"/>
      <c r="I1534"/>
    </row>
    <row r="1535" spans="1:9" ht="12.75">
      <c r="A1535"/>
      <c r="B1535"/>
      <c r="C1535"/>
      <c r="D1535"/>
      <c r="E1535"/>
      <c r="F1535"/>
      <c r="G1535" s="120"/>
      <c r="H1535" s="120"/>
      <c r="I1535"/>
    </row>
    <row r="1536" spans="1:9" ht="12.75">
      <c r="A1536"/>
      <c r="B1536"/>
      <c r="C1536"/>
      <c r="D1536"/>
      <c r="E1536"/>
      <c r="F1536"/>
      <c r="G1536" s="120"/>
      <c r="H1536" s="120"/>
      <c r="I1536"/>
    </row>
    <row r="1537" spans="1:9" ht="12.75">
      <c r="A1537"/>
      <c r="B1537"/>
      <c r="C1537"/>
      <c r="D1537"/>
      <c r="E1537"/>
      <c r="F1537"/>
      <c r="G1537" s="120"/>
      <c r="H1537" s="120"/>
      <c r="I1537"/>
    </row>
    <row r="1538" spans="1:9" ht="12.75">
      <c r="A1538"/>
      <c r="B1538"/>
      <c r="C1538"/>
      <c r="D1538"/>
      <c r="E1538"/>
      <c r="F1538"/>
      <c r="G1538" s="120"/>
      <c r="H1538" s="120"/>
      <c r="I1538"/>
    </row>
    <row r="1539" spans="1:9" ht="12.75">
      <c r="A1539"/>
      <c r="B1539"/>
      <c r="C1539"/>
      <c r="D1539"/>
      <c r="E1539"/>
      <c r="F1539"/>
      <c r="G1539" s="120"/>
      <c r="H1539" s="120"/>
      <c r="I1539"/>
    </row>
    <row r="1540" spans="1:9" ht="12.75">
      <c r="A1540"/>
      <c r="B1540"/>
      <c r="C1540"/>
      <c r="D1540"/>
      <c r="E1540"/>
      <c r="F1540"/>
      <c r="G1540" s="120"/>
      <c r="H1540" s="120"/>
      <c r="I1540"/>
    </row>
    <row r="1541" spans="1:9" ht="12.75">
      <c r="A1541"/>
      <c r="B1541"/>
      <c r="C1541"/>
      <c r="D1541"/>
      <c r="E1541"/>
      <c r="F1541"/>
      <c r="G1541" s="120"/>
      <c r="H1541" s="120"/>
      <c r="I1541"/>
    </row>
    <row r="1542" spans="1:9" ht="12.75">
      <c r="A1542"/>
      <c r="B1542"/>
      <c r="C1542"/>
      <c r="D1542"/>
      <c r="E1542"/>
      <c r="F1542"/>
      <c r="G1542" s="120"/>
      <c r="H1542" s="120"/>
      <c r="I1542"/>
    </row>
    <row r="1543" spans="1:9" ht="12.75">
      <c r="A1543"/>
      <c r="B1543"/>
      <c r="C1543"/>
      <c r="D1543"/>
      <c r="E1543"/>
      <c r="F1543"/>
      <c r="G1543" s="120"/>
      <c r="H1543" s="120"/>
      <c r="I1543"/>
    </row>
    <row r="1544" spans="1:9" ht="12.75">
      <c r="A1544"/>
      <c r="B1544"/>
      <c r="C1544"/>
      <c r="D1544"/>
      <c r="E1544"/>
      <c r="F1544"/>
      <c r="G1544" s="120"/>
      <c r="H1544" s="120"/>
      <c r="I1544"/>
    </row>
    <row r="1545" spans="1:9" ht="12.75">
      <c r="A1545"/>
      <c r="B1545"/>
      <c r="C1545"/>
      <c r="D1545"/>
      <c r="E1545"/>
      <c r="F1545"/>
      <c r="G1545" s="120"/>
      <c r="H1545" s="120"/>
      <c r="I1545"/>
    </row>
    <row r="1546" spans="1:9" ht="12.75">
      <c r="A1546"/>
      <c r="B1546"/>
      <c r="C1546"/>
      <c r="D1546"/>
      <c r="E1546"/>
      <c r="F1546"/>
      <c r="G1546" s="120"/>
      <c r="H1546" s="120"/>
      <c r="I1546"/>
    </row>
    <row r="1547" spans="1:9" ht="12.75">
      <c r="A1547"/>
      <c r="B1547"/>
      <c r="C1547"/>
      <c r="D1547"/>
      <c r="E1547"/>
      <c r="F1547"/>
      <c r="G1547" s="120"/>
      <c r="H1547" s="120"/>
      <c r="I1547"/>
    </row>
    <row r="1548" spans="1:9" ht="12.75">
      <c r="A1548"/>
      <c r="B1548"/>
      <c r="C1548"/>
      <c r="D1548"/>
      <c r="E1548"/>
      <c r="F1548"/>
      <c r="G1548" s="120"/>
      <c r="H1548" s="120"/>
      <c r="I1548"/>
    </row>
    <row r="1549" spans="1:9" ht="12.75">
      <c r="A1549"/>
      <c r="B1549"/>
      <c r="C1549"/>
      <c r="D1549"/>
      <c r="E1549"/>
      <c r="F1549"/>
      <c r="G1549" s="120"/>
      <c r="H1549" s="120"/>
      <c r="I1549"/>
    </row>
    <row r="1550" spans="1:9" ht="12.75">
      <c r="A1550"/>
      <c r="B1550"/>
      <c r="C1550"/>
      <c r="D1550"/>
      <c r="E1550"/>
      <c r="F1550"/>
      <c r="G1550" s="120"/>
      <c r="H1550" s="120"/>
      <c r="I1550"/>
    </row>
    <row r="1551" spans="1:9" ht="12.75">
      <c r="A1551"/>
      <c r="B1551"/>
      <c r="C1551"/>
      <c r="D1551"/>
      <c r="E1551"/>
      <c r="F1551"/>
      <c r="G1551" s="120"/>
      <c r="H1551" s="120"/>
      <c r="I1551"/>
    </row>
    <row r="1552" spans="1:9" ht="12.75">
      <c r="A1552"/>
      <c r="B1552"/>
      <c r="C1552"/>
      <c r="D1552"/>
      <c r="E1552"/>
      <c r="F1552"/>
      <c r="G1552" s="120"/>
      <c r="H1552" s="120"/>
      <c r="I1552"/>
    </row>
    <row r="1553" spans="1:9" ht="12.75">
      <c r="A1553"/>
      <c r="B1553"/>
      <c r="C1553"/>
      <c r="D1553"/>
      <c r="E1553"/>
      <c r="F1553"/>
      <c r="G1553" s="120"/>
      <c r="H1553" s="120"/>
      <c r="I1553"/>
    </row>
    <row r="1554" spans="1:9" ht="12.75">
      <c r="A1554"/>
      <c r="B1554"/>
      <c r="C1554"/>
      <c r="D1554"/>
      <c r="E1554"/>
      <c r="F1554"/>
      <c r="G1554" s="120"/>
      <c r="H1554" s="120"/>
      <c r="I1554"/>
    </row>
    <row r="1555" spans="1:9" ht="12.75">
      <c r="A1555"/>
      <c r="B1555"/>
      <c r="C1555"/>
      <c r="D1555"/>
      <c r="E1555"/>
      <c r="F1555"/>
      <c r="G1555" s="120"/>
      <c r="H1555" s="120"/>
      <c r="I1555"/>
    </row>
    <row r="1556" spans="1:9" ht="12.75">
      <c r="A1556"/>
      <c r="B1556"/>
      <c r="C1556"/>
      <c r="D1556"/>
      <c r="E1556"/>
      <c r="F1556"/>
      <c r="G1556" s="120"/>
      <c r="H1556" s="120"/>
      <c r="I1556"/>
    </row>
    <row r="1557" spans="1:9" ht="12.75">
      <c r="A1557"/>
      <c r="B1557"/>
      <c r="C1557"/>
      <c r="D1557"/>
      <c r="E1557"/>
      <c r="F1557"/>
      <c r="G1557" s="120"/>
      <c r="H1557" s="120"/>
      <c r="I1557"/>
    </row>
    <row r="1558" spans="1:9" ht="12.75">
      <c r="A1558"/>
      <c r="B1558"/>
      <c r="C1558"/>
      <c r="D1558"/>
      <c r="E1558"/>
      <c r="F1558"/>
      <c r="G1558" s="120"/>
      <c r="H1558" s="120"/>
      <c r="I1558"/>
    </row>
    <row r="1559" spans="1:9" ht="12.75">
      <c r="A1559"/>
      <c r="B1559"/>
      <c r="C1559"/>
      <c r="D1559"/>
      <c r="E1559"/>
      <c r="F1559"/>
      <c r="G1559" s="120"/>
      <c r="H1559" s="120"/>
      <c r="I1559"/>
    </row>
    <row r="1560" spans="1:9" ht="12.75">
      <c r="A1560"/>
      <c r="B1560"/>
      <c r="C1560"/>
      <c r="D1560"/>
      <c r="E1560"/>
      <c r="F1560"/>
      <c r="G1560" s="120"/>
      <c r="H1560" s="120"/>
      <c r="I1560"/>
    </row>
    <row r="1561" spans="1:9" ht="12.75">
      <c r="A1561"/>
      <c r="B1561"/>
      <c r="C1561"/>
      <c r="D1561"/>
      <c r="E1561"/>
      <c r="F1561"/>
      <c r="G1561" s="120"/>
      <c r="H1561" s="120"/>
      <c r="I1561"/>
    </row>
    <row r="1562" spans="1:9" ht="12.75">
      <c r="A1562"/>
      <c r="B1562"/>
      <c r="C1562"/>
      <c r="D1562"/>
      <c r="E1562"/>
      <c r="F1562"/>
      <c r="G1562" s="120"/>
      <c r="H1562" s="120"/>
      <c r="I1562"/>
    </row>
    <row r="1563" spans="1:9" ht="12.75">
      <c r="A1563"/>
      <c r="B1563"/>
      <c r="C1563"/>
      <c r="D1563"/>
      <c r="E1563"/>
      <c r="F1563"/>
      <c r="G1563" s="120"/>
      <c r="H1563" s="120"/>
      <c r="I1563"/>
    </row>
    <row r="1564" spans="1:9" ht="12.75">
      <c r="A1564"/>
      <c r="B1564"/>
      <c r="C1564"/>
      <c r="D1564"/>
      <c r="E1564"/>
      <c r="F1564"/>
      <c r="G1564" s="120"/>
      <c r="H1564" s="120"/>
      <c r="I1564"/>
    </row>
    <row r="1565" spans="1:9" ht="12.75">
      <c r="A1565"/>
      <c r="B1565"/>
      <c r="C1565"/>
      <c r="D1565"/>
      <c r="E1565"/>
      <c r="F1565"/>
      <c r="G1565" s="120"/>
      <c r="H1565" s="120"/>
      <c r="I1565"/>
    </row>
    <row r="1566" spans="1:9" ht="12.75">
      <c r="A1566"/>
      <c r="B1566"/>
      <c r="C1566"/>
      <c r="D1566"/>
      <c r="E1566"/>
      <c r="F1566"/>
      <c r="G1566" s="120"/>
      <c r="H1566" s="120"/>
      <c r="I1566"/>
    </row>
    <row r="1567" spans="1:9" ht="12.75">
      <c r="A1567"/>
      <c r="B1567"/>
      <c r="C1567"/>
      <c r="D1567"/>
      <c r="E1567"/>
      <c r="F1567"/>
      <c r="G1567" s="120"/>
      <c r="H1567" s="120"/>
      <c r="I1567"/>
    </row>
    <row r="1568" spans="1:9" ht="12.75">
      <c r="A1568"/>
      <c r="B1568"/>
      <c r="C1568"/>
      <c r="D1568"/>
      <c r="E1568"/>
      <c r="F1568"/>
      <c r="G1568" s="120"/>
      <c r="H1568" s="120"/>
      <c r="I1568"/>
    </row>
    <row r="1569" spans="1:9" ht="12.75">
      <c r="A1569"/>
      <c r="B1569"/>
      <c r="C1569"/>
      <c r="D1569"/>
      <c r="E1569"/>
      <c r="F1569"/>
      <c r="G1569" s="120"/>
      <c r="H1569" s="120"/>
      <c r="I1569"/>
    </row>
    <row r="1570" spans="1:9" ht="12.75">
      <c r="A1570"/>
      <c r="B1570"/>
      <c r="C1570"/>
      <c r="D1570"/>
      <c r="E1570"/>
      <c r="F1570"/>
      <c r="G1570" s="120"/>
      <c r="H1570" s="120"/>
      <c r="I1570"/>
    </row>
    <row r="1571" spans="1:9" ht="12.75">
      <c r="A1571"/>
      <c r="B1571"/>
      <c r="C1571"/>
      <c r="D1571"/>
      <c r="E1571"/>
      <c r="F1571"/>
      <c r="G1571" s="120"/>
      <c r="H1571" s="120"/>
      <c r="I1571"/>
    </row>
    <row r="1572" spans="1:9" ht="12.75">
      <c r="A1572"/>
      <c r="B1572"/>
      <c r="C1572"/>
      <c r="D1572"/>
      <c r="E1572"/>
      <c r="F1572"/>
      <c r="G1572" s="120"/>
      <c r="H1572" s="120"/>
      <c r="I1572"/>
    </row>
    <row r="1573" spans="1:9" ht="12.75">
      <c r="A1573"/>
      <c r="B1573"/>
      <c r="C1573"/>
      <c r="D1573"/>
      <c r="E1573"/>
      <c r="F1573"/>
      <c r="G1573" s="120"/>
      <c r="H1573" s="120"/>
      <c r="I1573"/>
    </row>
    <row r="1574" spans="1:9" ht="12.75">
      <c r="A1574"/>
      <c r="B1574"/>
      <c r="C1574"/>
      <c r="D1574"/>
      <c r="E1574"/>
      <c r="F1574"/>
      <c r="G1574" s="120"/>
      <c r="H1574" s="120"/>
      <c r="I1574"/>
    </row>
    <row r="1575" spans="1:9" ht="12.75">
      <c r="A1575"/>
      <c r="B1575"/>
      <c r="C1575"/>
      <c r="D1575"/>
      <c r="E1575"/>
      <c r="F1575"/>
      <c r="G1575" s="120"/>
      <c r="H1575" s="120"/>
      <c r="I1575"/>
    </row>
    <row r="1576" spans="1:9" ht="12.75">
      <c r="A1576"/>
      <c r="B1576"/>
      <c r="C1576"/>
      <c r="D1576"/>
      <c r="E1576"/>
      <c r="F1576"/>
      <c r="G1576" s="120"/>
      <c r="H1576" s="120"/>
      <c r="I1576"/>
    </row>
    <row r="1577" spans="1:9" ht="12.75">
      <c r="A1577"/>
      <c r="B1577"/>
      <c r="C1577"/>
      <c r="D1577"/>
      <c r="E1577"/>
      <c r="F1577"/>
      <c r="G1577" s="120"/>
      <c r="H1577" s="120"/>
      <c r="I1577"/>
    </row>
    <row r="1578" spans="1:9" ht="12.75">
      <c r="A1578"/>
      <c r="B1578"/>
      <c r="C1578"/>
      <c r="D1578"/>
      <c r="E1578"/>
      <c r="F1578"/>
      <c r="G1578" s="120"/>
      <c r="H1578" s="120"/>
      <c r="I1578"/>
    </row>
    <row r="1579" spans="1:9" ht="12.75">
      <c r="A1579"/>
      <c r="B1579"/>
      <c r="C1579"/>
      <c r="D1579"/>
      <c r="E1579"/>
      <c r="F1579"/>
      <c r="G1579" s="120"/>
      <c r="H1579" s="120"/>
      <c r="I1579"/>
    </row>
    <row r="1580" spans="1:9" ht="12.75">
      <c r="A1580"/>
      <c r="B1580"/>
      <c r="C1580"/>
      <c r="D1580"/>
      <c r="E1580"/>
      <c r="F1580"/>
      <c r="G1580" s="120"/>
      <c r="H1580" s="120"/>
      <c r="I1580"/>
    </row>
    <row r="1581" spans="1:9" ht="12.75">
      <c r="A1581"/>
      <c r="B1581"/>
      <c r="C1581"/>
      <c r="D1581"/>
      <c r="E1581"/>
      <c r="F1581"/>
      <c r="G1581" s="120"/>
      <c r="H1581" s="120"/>
      <c r="I1581"/>
    </row>
    <row r="1582" spans="1:9" ht="12.75">
      <c r="A1582"/>
      <c r="B1582"/>
      <c r="C1582"/>
      <c r="D1582"/>
      <c r="E1582"/>
      <c r="F1582"/>
      <c r="G1582" s="120"/>
      <c r="H1582" s="120"/>
      <c r="I1582"/>
    </row>
    <row r="1583" spans="1:9" ht="12.75">
      <c r="A1583"/>
      <c r="B1583"/>
      <c r="C1583"/>
      <c r="D1583"/>
      <c r="E1583"/>
      <c r="F1583"/>
      <c r="G1583" s="120"/>
      <c r="H1583" s="120"/>
      <c r="I1583"/>
    </row>
    <row r="1584" spans="1:9" ht="12.75">
      <c r="A1584"/>
      <c r="B1584"/>
      <c r="C1584"/>
      <c r="D1584"/>
      <c r="E1584"/>
      <c r="F1584"/>
      <c r="G1584" s="120"/>
      <c r="H1584" s="120"/>
      <c r="I1584"/>
    </row>
    <row r="1585" spans="1:9" ht="12.75">
      <c r="A1585"/>
      <c r="B1585"/>
      <c r="C1585"/>
      <c r="D1585"/>
      <c r="E1585"/>
      <c r="F1585"/>
      <c r="G1585" s="120"/>
      <c r="H1585" s="120"/>
      <c r="I1585"/>
    </row>
    <row r="1586" spans="1:9" ht="12.75">
      <c r="A1586"/>
      <c r="B1586"/>
      <c r="C1586"/>
      <c r="D1586"/>
      <c r="E1586"/>
      <c r="F1586"/>
      <c r="G1586" s="120"/>
      <c r="H1586" s="120"/>
      <c r="I1586"/>
    </row>
    <row r="1587" spans="1:9" ht="12.75">
      <c r="A1587"/>
      <c r="B1587"/>
      <c r="C1587"/>
      <c r="D1587"/>
      <c r="E1587"/>
      <c r="F1587"/>
      <c r="G1587" s="120"/>
      <c r="H1587" s="120"/>
      <c r="I1587"/>
    </row>
    <row r="1588" spans="1:9" ht="12.75">
      <c r="A1588"/>
      <c r="B1588"/>
      <c r="C1588"/>
      <c r="D1588"/>
      <c r="E1588"/>
      <c r="F1588"/>
      <c r="G1588" s="120"/>
      <c r="H1588" s="120"/>
      <c r="I1588"/>
    </row>
    <row r="1589" spans="1:9" ht="12.75">
      <c r="A1589"/>
      <c r="B1589"/>
      <c r="C1589"/>
      <c r="D1589"/>
      <c r="E1589"/>
      <c r="F1589"/>
      <c r="G1589" s="120"/>
      <c r="H1589" s="120"/>
      <c r="I1589"/>
    </row>
    <row r="1590" spans="1:9" ht="12.75">
      <c r="A1590"/>
      <c r="B1590"/>
      <c r="C1590"/>
      <c r="D1590"/>
      <c r="E1590"/>
      <c r="F1590"/>
      <c r="G1590" s="120"/>
      <c r="H1590" s="120"/>
      <c r="I1590"/>
    </row>
    <row r="1591" spans="1:9" ht="12.75">
      <c r="A1591"/>
      <c r="B1591"/>
      <c r="C1591"/>
      <c r="D1591"/>
      <c r="E1591"/>
      <c r="F1591"/>
      <c r="G1591" s="120"/>
      <c r="H1591" s="120"/>
      <c r="I1591"/>
    </row>
    <row r="1592" spans="1:9" ht="12.75">
      <c r="A1592"/>
      <c r="B1592"/>
      <c r="C1592"/>
      <c r="D1592"/>
      <c r="E1592"/>
      <c r="F1592"/>
      <c r="G1592" s="120"/>
      <c r="H1592" s="120"/>
      <c r="I1592"/>
    </row>
    <row r="1593" spans="1:9" ht="12.75">
      <c r="A1593"/>
      <c r="B1593"/>
      <c r="C1593"/>
      <c r="D1593"/>
      <c r="E1593"/>
      <c r="F1593"/>
      <c r="G1593" s="120"/>
      <c r="H1593" s="120"/>
      <c r="I1593"/>
    </row>
    <row r="1594" spans="1:9" ht="12.75">
      <c r="A1594"/>
      <c r="B1594"/>
      <c r="C1594"/>
      <c r="D1594"/>
      <c r="E1594"/>
      <c r="F1594"/>
      <c r="G1594" s="120"/>
      <c r="H1594" s="120"/>
      <c r="I1594"/>
    </row>
    <row r="1595" spans="1:9" ht="12.75">
      <c r="A1595"/>
      <c r="B1595"/>
      <c r="C1595"/>
      <c r="D1595"/>
      <c r="E1595"/>
      <c r="F1595"/>
      <c r="G1595" s="120"/>
      <c r="H1595" s="120"/>
      <c r="I1595"/>
    </row>
    <row r="1596" spans="1:9" ht="12.75">
      <c r="A1596"/>
      <c r="B1596"/>
      <c r="C1596"/>
      <c r="D1596"/>
      <c r="E1596"/>
      <c r="F1596"/>
      <c r="G1596" s="120"/>
      <c r="H1596" s="120"/>
      <c r="I1596"/>
    </row>
    <row r="1597" spans="1:9" ht="12.75">
      <c r="A1597"/>
      <c r="B1597"/>
      <c r="C1597"/>
      <c r="D1597"/>
      <c r="E1597"/>
      <c r="F1597"/>
      <c r="G1597" s="120"/>
      <c r="H1597" s="120"/>
      <c r="I1597"/>
    </row>
    <row r="1598" spans="1:9" ht="12.75">
      <c r="A1598"/>
      <c r="B1598"/>
      <c r="C1598"/>
      <c r="D1598"/>
      <c r="E1598"/>
      <c r="F1598"/>
      <c r="G1598" s="120"/>
      <c r="H1598" s="120"/>
      <c r="I1598"/>
    </row>
    <row r="1599" spans="1:9" ht="12.75">
      <c r="A1599"/>
      <c r="B1599"/>
      <c r="C1599"/>
      <c r="D1599"/>
      <c r="E1599"/>
      <c r="F1599"/>
      <c r="G1599" s="120"/>
      <c r="H1599" s="120"/>
      <c r="I1599"/>
    </row>
    <row r="1600" spans="1:9" ht="12.75">
      <c r="A1600"/>
      <c r="B1600"/>
      <c r="C1600"/>
      <c r="D1600"/>
      <c r="E1600"/>
      <c r="F1600"/>
      <c r="G1600" s="120"/>
      <c r="H1600" s="120"/>
      <c r="I1600"/>
    </row>
    <row r="1601" spans="1:9" ht="12.75">
      <c r="A1601"/>
      <c r="B1601"/>
      <c r="C1601"/>
      <c r="D1601"/>
      <c r="E1601"/>
      <c r="F1601"/>
      <c r="G1601" s="120"/>
      <c r="H1601" s="120"/>
      <c r="I1601"/>
    </row>
    <row r="1602" spans="1:9" ht="12.75">
      <c r="A1602"/>
      <c r="B1602"/>
      <c r="C1602"/>
      <c r="D1602"/>
      <c r="E1602"/>
      <c r="F1602"/>
      <c r="G1602" s="120"/>
      <c r="H1602" s="120"/>
      <c r="I1602"/>
    </row>
    <row r="1603" spans="1:9" ht="12.75">
      <c r="A1603"/>
      <c r="B1603"/>
      <c r="C1603"/>
      <c r="D1603"/>
      <c r="E1603"/>
      <c r="F1603"/>
      <c r="G1603" s="120"/>
      <c r="H1603" s="120"/>
      <c r="I1603"/>
    </row>
    <row r="1604" spans="1:9" ht="12.75">
      <c r="A1604"/>
      <c r="B1604"/>
      <c r="C1604"/>
      <c r="D1604"/>
      <c r="E1604"/>
      <c r="F1604"/>
      <c r="G1604" s="120"/>
      <c r="H1604" s="120"/>
      <c r="I1604"/>
    </row>
    <row r="1605" spans="1:9" ht="12.75">
      <c r="A1605"/>
      <c r="B1605"/>
      <c r="C1605"/>
      <c r="D1605"/>
      <c r="E1605"/>
      <c r="F1605"/>
      <c r="G1605" s="120"/>
      <c r="H1605" s="120"/>
      <c r="I1605"/>
    </row>
    <row r="1606" spans="1:9" ht="12.75">
      <c r="A1606"/>
      <c r="B1606"/>
      <c r="C1606"/>
      <c r="D1606"/>
      <c r="E1606"/>
      <c r="F1606"/>
      <c r="G1606" s="120"/>
      <c r="H1606" s="120"/>
      <c r="I1606"/>
    </row>
    <row r="1607" spans="1:9" ht="12.75">
      <c r="A1607"/>
      <c r="B1607"/>
      <c r="C1607"/>
      <c r="D1607"/>
      <c r="E1607"/>
      <c r="F1607"/>
      <c r="G1607" s="120"/>
      <c r="H1607" s="120"/>
      <c r="I1607"/>
    </row>
    <row r="1608" spans="1:9" ht="12.75">
      <c r="A1608"/>
      <c r="B1608"/>
      <c r="C1608"/>
      <c r="D1608"/>
      <c r="E1608"/>
      <c r="F1608"/>
      <c r="G1608" s="120"/>
      <c r="H1608" s="120"/>
      <c r="I1608"/>
    </row>
    <row r="1609" spans="1:9" ht="12.75">
      <c r="A1609"/>
      <c r="B1609"/>
      <c r="C1609"/>
      <c r="D1609"/>
      <c r="E1609"/>
      <c r="F1609"/>
      <c r="G1609" s="120"/>
      <c r="H1609" s="120"/>
      <c r="I1609"/>
    </row>
    <row r="1610" spans="1:9" ht="12.75">
      <c r="A1610"/>
      <c r="B1610"/>
      <c r="C1610"/>
      <c r="D1610"/>
      <c r="E1610"/>
      <c r="F1610"/>
      <c r="G1610" s="120"/>
      <c r="H1610" s="120"/>
      <c r="I1610"/>
    </row>
    <row r="1611" spans="1:9" ht="12.75">
      <c r="A1611"/>
      <c r="B1611"/>
      <c r="C1611"/>
      <c r="D1611"/>
      <c r="E1611"/>
      <c r="F1611"/>
      <c r="G1611" s="120"/>
      <c r="H1611" s="120"/>
      <c r="I1611"/>
    </row>
    <row r="1612" spans="1:9" ht="12.75">
      <c r="A1612"/>
      <c r="B1612"/>
      <c r="C1612"/>
      <c r="D1612"/>
      <c r="E1612"/>
      <c r="F1612"/>
      <c r="G1612" s="120"/>
      <c r="H1612" s="120"/>
      <c r="I1612"/>
    </row>
    <row r="1613" spans="1:9" ht="12.75">
      <c r="A1613"/>
      <c r="B1613"/>
      <c r="C1613"/>
      <c r="D1613"/>
      <c r="E1613"/>
      <c r="F1613"/>
      <c r="G1613" s="120"/>
      <c r="H1613" s="120"/>
      <c r="I1613"/>
    </row>
    <row r="1614" spans="1:9" ht="12.75">
      <c r="A1614"/>
      <c r="B1614"/>
      <c r="C1614"/>
      <c r="D1614"/>
      <c r="E1614"/>
      <c r="F1614"/>
      <c r="G1614" s="120"/>
      <c r="H1614" s="120"/>
      <c r="I1614"/>
    </row>
    <row r="1615" spans="1:9" ht="12.75">
      <c r="A1615"/>
      <c r="B1615"/>
      <c r="C1615"/>
      <c r="D1615"/>
      <c r="E1615"/>
      <c r="F1615"/>
      <c r="G1615" s="120"/>
      <c r="H1615" s="120"/>
      <c r="I1615"/>
    </row>
    <row r="1616" spans="1:9" ht="12.75">
      <c r="A1616"/>
      <c r="B1616"/>
      <c r="C1616"/>
      <c r="D1616"/>
      <c r="E1616"/>
      <c r="F1616"/>
      <c r="G1616" s="120"/>
      <c r="H1616" s="120"/>
      <c r="I1616"/>
    </row>
    <row r="1617" spans="1:9" ht="12.75">
      <c r="A1617"/>
      <c r="B1617"/>
      <c r="C1617"/>
      <c r="D1617"/>
      <c r="E1617"/>
      <c r="F1617"/>
      <c r="G1617" s="120"/>
      <c r="H1617" s="120"/>
      <c r="I1617"/>
    </row>
    <row r="1618" spans="1:9" ht="12.75">
      <c r="A1618"/>
      <c r="B1618"/>
      <c r="C1618"/>
      <c r="D1618"/>
      <c r="E1618"/>
      <c r="F1618"/>
      <c r="G1618" s="120"/>
      <c r="H1618" s="120"/>
      <c r="I1618"/>
    </row>
    <row r="1619" spans="1:9" ht="12.75">
      <c r="A1619"/>
      <c r="B1619"/>
      <c r="C1619"/>
      <c r="D1619"/>
      <c r="E1619"/>
      <c r="F1619"/>
      <c r="G1619" s="120"/>
      <c r="H1619" s="120"/>
      <c r="I1619"/>
    </row>
    <row r="1620" spans="1:9" ht="12.75">
      <c r="A1620"/>
      <c r="B1620"/>
      <c r="C1620"/>
      <c r="D1620"/>
      <c r="E1620"/>
      <c r="F1620"/>
      <c r="G1620" s="120"/>
      <c r="H1620" s="120"/>
      <c r="I1620"/>
    </row>
    <row r="1621" spans="1:9" ht="12.75">
      <c r="A1621"/>
      <c r="B1621"/>
      <c r="C1621"/>
      <c r="D1621"/>
      <c r="E1621"/>
      <c r="F1621"/>
      <c r="G1621" s="120"/>
      <c r="H1621" s="120"/>
      <c r="I1621"/>
    </row>
    <row r="1622" spans="1:9" ht="12.75">
      <c r="A1622"/>
      <c r="B1622"/>
      <c r="C1622"/>
      <c r="D1622"/>
      <c r="E1622"/>
      <c r="F1622"/>
      <c r="G1622" s="120"/>
      <c r="H1622" s="120"/>
      <c r="I1622"/>
    </row>
    <row r="1623" spans="1:9" ht="12.75">
      <c r="A1623"/>
      <c r="B1623"/>
      <c r="C1623"/>
      <c r="D1623"/>
      <c r="E1623"/>
      <c r="F1623"/>
      <c r="G1623" s="120"/>
      <c r="H1623" s="120"/>
      <c r="I1623"/>
    </row>
    <row r="1624" spans="1:9" ht="12.75">
      <c r="A1624"/>
      <c r="B1624"/>
      <c r="C1624"/>
      <c r="D1624"/>
      <c r="E1624"/>
      <c r="F1624"/>
      <c r="G1624" s="120"/>
      <c r="H1624" s="120"/>
      <c r="I1624"/>
    </row>
    <row r="1625" spans="1:9" ht="12.75">
      <c r="A1625"/>
      <c r="B1625"/>
      <c r="C1625"/>
      <c r="D1625"/>
      <c r="E1625"/>
      <c r="F1625"/>
      <c r="G1625" s="120"/>
      <c r="H1625" s="120"/>
      <c r="I1625"/>
    </row>
    <row r="1626" spans="1:9" ht="12.75">
      <c r="A1626"/>
      <c r="B1626"/>
      <c r="C1626"/>
      <c r="D1626"/>
      <c r="E1626"/>
      <c r="F1626"/>
      <c r="G1626" s="120"/>
      <c r="H1626" s="120"/>
      <c r="I1626"/>
    </row>
    <row r="1627" spans="1:9" ht="12.75">
      <c r="A1627"/>
      <c r="B1627"/>
      <c r="C1627"/>
      <c r="D1627"/>
      <c r="E1627"/>
      <c r="F1627"/>
      <c r="G1627" s="120"/>
      <c r="H1627" s="120"/>
      <c r="I1627"/>
    </row>
    <row r="1628" spans="1:9" ht="12.75">
      <c r="A1628"/>
      <c r="B1628"/>
      <c r="C1628"/>
      <c r="D1628"/>
      <c r="E1628"/>
      <c r="F1628"/>
      <c r="G1628" s="120"/>
      <c r="H1628" s="120"/>
      <c r="I1628"/>
    </row>
    <row r="1629" spans="1:9" ht="12.75">
      <c r="A1629"/>
      <c r="B1629"/>
      <c r="C1629"/>
      <c r="D1629"/>
      <c r="E1629"/>
      <c r="F1629"/>
      <c r="G1629" s="120"/>
      <c r="H1629" s="120"/>
      <c r="I1629"/>
    </row>
    <row r="1630" spans="1:9" ht="12.75">
      <c r="A1630"/>
      <c r="B1630"/>
      <c r="C1630"/>
      <c r="D1630"/>
      <c r="E1630"/>
      <c r="F1630"/>
      <c r="G1630" s="120"/>
      <c r="H1630" s="120"/>
      <c r="I1630"/>
    </row>
    <row r="1631" spans="1:9" ht="12.75">
      <c r="A1631"/>
      <c r="B1631"/>
      <c r="C1631"/>
      <c r="D1631"/>
      <c r="E1631"/>
      <c r="F1631"/>
      <c r="G1631" s="120"/>
      <c r="H1631" s="120"/>
      <c r="I1631"/>
    </row>
    <row r="1632" spans="1:9" ht="12.75">
      <c r="A1632"/>
      <c r="B1632"/>
      <c r="C1632"/>
      <c r="D1632"/>
      <c r="E1632"/>
      <c r="F1632"/>
      <c r="G1632" s="120"/>
      <c r="H1632" s="120"/>
      <c r="I1632"/>
    </row>
    <row r="1633" spans="1:9" ht="12.75">
      <c r="A1633"/>
      <c r="B1633"/>
      <c r="C1633"/>
      <c r="D1633"/>
      <c r="E1633"/>
      <c r="F1633"/>
      <c r="G1633" s="120"/>
      <c r="H1633" s="120"/>
      <c r="I1633"/>
    </row>
    <row r="1634" spans="1:9" ht="12.75">
      <c r="A1634"/>
      <c r="B1634"/>
      <c r="C1634"/>
      <c r="D1634"/>
      <c r="E1634"/>
      <c r="F1634"/>
      <c r="G1634" s="120"/>
      <c r="H1634" s="120"/>
      <c r="I1634"/>
    </row>
    <row r="1635" spans="1:9" ht="12.75">
      <c r="A1635"/>
      <c r="B1635"/>
      <c r="C1635"/>
      <c r="D1635"/>
      <c r="E1635"/>
      <c r="F1635"/>
      <c r="G1635" s="120"/>
      <c r="H1635" s="120"/>
      <c r="I1635"/>
    </row>
    <row r="1636" spans="1:9" ht="12.75">
      <c r="A1636"/>
      <c r="B1636"/>
      <c r="C1636"/>
      <c r="D1636"/>
      <c r="E1636"/>
      <c r="F1636"/>
      <c r="G1636" s="120"/>
      <c r="H1636" s="120"/>
      <c r="I1636"/>
    </row>
    <row r="1637" spans="1:9" ht="12.75">
      <c r="A1637"/>
      <c r="B1637"/>
      <c r="C1637"/>
      <c r="D1637"/>
      <c r="E1637"/>
      <c r="F1637"/>
      <c r="G1637" s="120"/>
      <c r="H1637" s="120"/>
      <c r="I1637"/>
    </row>
    <row r="1638" spans="1:9" ht="12.75">
      <c r="A1638"/>
      <c r="B1638"/>
      <c r="C1638"/>
      <c r="D1638"/>
      <c r="E1638"/>
      <c r="F1638"/>
      <c r="G1638" s="120"/>
      <c r="H1638" s="120"/>
      <c r="I1638"/>
    </row>
    <row r="1639" spans="1:9" ht="12.75">
      <c r="A1639"/>
      <c r="B1639"/>
      <c r="C1639"/>
      <c r="D1639"/>
      <c r="E1639"/>
      <c r="F1639"/>
      <c r="G1639" s="120"/>
      <c r="H1639" s="120"/>
      <c r="I1639"/>
    </row>
    <row r="1640" spans="1:9" ht="12.75">
      <c r="A1640"/>
      <c r="B1640"/>
      <c r="C1640"/>
      <c r="D1640"/>
      <c r="E1640"/>
      <c r="F1640"/>
      <c r="G1640" s="120"/>
      <c r="H1640" s="120"/>
      <c r="I1640"/>
    </row>
    <row r="1641" spans="1:9" ht="12.75">
      <c r="A1641"/>
      <c r="B1641"/>
      <c r="C1641"/>
      <c r="D1641"/>
      <c r="E1641"/>
      <c r="F1641"/>
      <c r="G1641" s="120"/>
      <c r="H1641" s="120"/>
      <c r="I1641"/>
    </row>
    <row r="1642" spans="1:9" ht="12.75">
      <c r="A1642"/>
      <c r="B1642"/>
      <c r="C1642"/>
      <c r="D1642"/>
      <c r="E1642"/>
      <c r="F1642"/>
      <c r="G1642" s="120"/>
      <c r="H1642" s="120"/>
      <c r="I1642"/>
    </row>
    <row r="1643" spans="1:9" ht="12.75">
      <c r="A1643"/>
      <c r="B1643"/>
      <c r="C1643"/>
      <c r="D1643"/>
      <c r="E1643"/>
      <c r="F1643"/>
      <c r="G1643" s="120"/>
      <c r="H1643" s="120"/>
      <c r="I1643"/>
    </row>
    <row r="1644" spans="1:9" ht="12.75">
      <c r="A1644"/>
      <c r="B1644"/>
      <c r="C1644"/>
      <c r="D1644"/>
      <c r="E1644"/>
      <c r="F1644"/>
      <c r="G1644" s="120"/>
      <c r="H1644" s="120"/>
      <c r="I1644"/>
    </row>
    <row r="1645" spans="1:9" ht="12.75">
      <c r="A1645"/>
      <c r="B1645"/>
      <c r="C1645"/>
      <c r="D1645"/>
      <c r="E1645"/>
      <c r="F1645"/>
      <c r="G1645" s="120"/>
      <c r="H1645" s="120"/>
      <c r="I1645"/>
    </row>
    <row r="1646" spans="1:9" ht="12.75">
      <c r="A1646"/>
      <c r="B1646"/>
      <c r="C1646"/>
      <c r="D1646"/>
      <c r="E1646"/>
      <c r="F1646"/>
      <c r="G1646" s="120"/>
      <c r="H1646" s="120"/>
      <c r="I1646"/>
    </row>
    <row r="1647" spans="1:9" ht="12.75">
      <c r="A1647"/>
      <c r="B1647"/>
      <c r="C1647"/>
      <c r="D1647"/>
      <c r="E1647"/>
      <c r="F1647"/>
      <c r="G1647" s="120"/>
      <c r="H1647" s="120"/>
      <c r="I1647"/>
    </row>
    <row r="1648" spans="1:9" ht="12.75">
      <c r="A1648"/>
      <c r="B1648"/>
      <c r="C1648"/>
      <c r="D1648"/>
      <c r="E1648"/>
      <c r="F1648"/>
      <c r="G1648" s="120"/>
      <c r="H1648" s="120"/>
      <c r="I1648"/>
    </row>
    <row r="1649" spans="1:9" ht="12.75">
      <c r="A1649"/>
      <c r="B1649"/>
      <c r="C1649"/>
      <c r="D1649"/>
      <c r="E1649"/>
      <c r="F1649"/>
      <c r="G1649" s="120"/>
      <c r="H1649" s="120"/>
      <c r="I1649"/>
    </row>
    <row r="1650" spans="1:9" ht="12.75">
      <c r="A1650"/>
      <c r="B1650"/>
      <c r="C1650"/>
      <c r="D1650"/>
      <c r="E1650"/>
      <c r="F1650"/>
      <c r="G1650" s="120"/>
      <c r="H1650" s="120"/>
      <c r="I1650"/>
    </row>
    <row r="1651" spans="1:9" ht="12.75">
      <c r="A1651"/>
      <c r="B1651"/>
      <c r="C1651"/>
      <c r="D1651"/>
      <c r="E1651"/>
      <c r="F1651"/>
      <c r="G1651" s="120"/>
      <c r="H1651" s="120"/>
      <c r="I1651"/>
    </row>
    <row r="1652" spans="1:9" ht="12.75">
      <c r="A1652"/>
      <c r="B1652"/>
      <c r="C1652"/>
      <c r="D1652"/>
      <c r="E1652"/>
      <c r="F1652"/>
      <c r="G1652" s="120"/>
      <c r="H1652" s="120"/>
      <c r="I1652"/>
    </row>
    <row r="1653" spans="1:9" ht="12.75">
      <c r="A1653"/>
      <c r="B1653"/>
      <c r="C1653"/>
      <c r="D1653"/>
      <c r="E1653"/>
      <c r="F1653"/>
      <c r="G1653" s="120"/>
      <c r="H1653" s="120"/>
      <c r="I1653"/>
    </row>
    <row r="1654" spans="1:9" ht="12.75">
      <c r="A1654"/>
      <c r="B1654"/>
      <c r="C1654"/>
      <c r="D1654"/>
      <c r="E1654"/>
      <c r="F1654"/>
      <c r="G1654" s="120"/>
      <c r="H1654" s="120"/>
      <c r="I1654"/>
    </row>
    <row r="1655" spans="1:9" ht="12.75">
      <c r="A1655"/>
      <c r="B1655"/>
      <c r="C1655"/>
      <c r="D1655"/>
      <c r="E1655"/>
      <c r="F1655"/>
      <c r="G1655" s="120"/>
      <c r="H1655" s="120"/>
      <c r="I1655"/>
    </row>
    <row r="1656" spans="1:9" ht="12.75">
      <c r="A1656"/>
      <c r="B1656"/>
      <c r="C1656"/>
      <c r="D1656"/>
      <c r="E1656"/>
      <c r="F1656"/>
      <c r="G1656" s="120"/>
      <c r="H1656" s="120"/>
      <c r="I1656"/>
    </row>
    <row r="1657" spans="1:9" ht="12.75">
      <c r="A1657"/>
      <c r="B1657"/>
      <c r="C1657"/>
      <c r="D1657"/>
      <c r="E1657"/>
      <c r="F1657"/>
      <c r="G1657" s="120"/>
      <c r="H1657" s="120"/>
      <c r="I1657"/>
    </row>
    <row r="1658" spans="1:9" ht="12.75">
      <c r="A1658"/>
      <c r="B1658"/>
      <c r="C1658"/>
      <c r="D1658"/>
      <c r="E1658"/>
      <c r="F1658"/>
      <c r="G1658" s="120"/>
      <c r="H1658" s="120"/>
      <c r="I1658"/>
    </row>
    <row r="1659" spans="1:9" ht="12.75">
      <c r="A1659"/>
      <c r="B1659"/>
      <c r="C1659"/>
      <c r="D1659"/>
      <c r="E1659"/>
      <c r="F1659"/>
      <c r="G1659" s="120"/>
      <c r="H1659" s="120"/>
      <c r="I1659"/>
    </row>
    <row r="1660" spans="1:9" ht="12.75">
      <c r="A1660"/>
      <c r="B1660"/>
      <c r="C1660"/>
      <c r="D1660"/>
      <c r="E1660"/>
      <c r="F1660"/>
      <c r="G1660" s="120"/>
      <c r="H1660" s="120"/>
      <c r="I1660"/>
    </row>
    <row r="1661" spans="1:9" ht="12.75">
      <c r="A1661"/>
      <c r="B1661"/>
      <c r="C1661"/>
      <c r="D1661"/>
      <c r="E1661"/>
      <c r="F1661"/>
      <c r="G1661" s="120"/>
      <c r="H1661" s="120"/>
      <c r="I1661"/>
    </row>
    <row r="1662" spans="1:9" ht="12.75">
      <c r="A1662"/>
      <c r="B1662"/>
      <c r="C1662"/>
      <c r="D1662"/>
      <c r="E1662"/>
      <c r="F1662"/>
      <c r="G1662" s="120"/>
      <c r="H1662" s="120"/>
      <c r="I1662"/>
    </row>
    <row r="1663" spans="1:9" ht="12.75">
      <c r="A1663"/>
      <c r="B1663"/>
      <c r="C1663"/>
      <c r="D1663"/>
      <c r="E1663"/>
      <c r="F1663"/>
      <c r="G1663" s="120"/>
      <c r="H1663" s="120"/>
      <c r="I1663"/>
    </row>
    <row r="1664" spans="1:9" ht="12.75">
      <c r="A1664"/>
      <c r="B1664"/>
      <c r="C1664"/>
      <c r="D1664"/>
      <c r="E1664"/>
      <c r="F1664"/>
      <c r="G1664" s="120"/>
      <c r="H1664" s="120"/>
      <c r="I1664"/>
    </row>
    <row r="1665" spans="1:9" ht="12.75">
      <c r="A1665"/>
      <c r="B1665"/>
      <c r="C1665"/>
      <c r="D1665"/>
      <c r="E1665"/>
      <c r="F1665"/>
      <c r="G1665" s="120"/>
      <c r="H1665" s="120"/>
      <c r="I1665"/>
    </row>
    <row r="1666" spans="1:9" ht="12.75">
      <c r="A1666"/>
      <c r="B1666"/>
      <c r="C1666"/>
      <c r="D1666"/>
      <c r="E1666"/>
      <c r="F1666"/>
      <c r="G1666" s="120"/>
      <c r="H1666" s="120"/>
      <c r="I1666"/>
    </row>
    <row r="1667" spans="1:9" ht="12.75">
      <c r="A1667"/>
      <c r="B1667"/>
      <c r="C1667"/>
      <c r="D1667"/>
      <c r="E1667"/>
      <c r="F1667"/>
      <c r="G1667" s="120"/>
      <c r="H1667" s="120"/>
      <c r="I1667"/>
    </row>
    <row r="1668" spans="1:9" ht="12.75">
      <c r="A1668"/>
      <c r="B1668"/>
      <c r="C1668"/>
      <c r="D1668"/>
      <c r="E1668"/>
      <c r="F1668"/>
      <c r="G1668" s="120"/>
      <c r="H1668" s="120"/>
      <c r="I1668"/>
    </row>
    <row r="1669" spans="1:9" ht="12.75">
      <c r="A1669"/>
      <c r="B1669"/>
      <c r="C1669"/>
      <c r="D1669"/>
      <c r="E1669"/>
      <c r="F1669"/>
      <c r="G1669" s="120"/>
      <c r="H1669" s="120"/>
      <c r="I1669"/>
    </row>
    <row r="1670" spans="1:9" ht="12.75">
      <c r="A1670"/>
      <c r="B1670"/>
      <c r="C1670"/>
      <c r="D1670"/>
      <c r="E1670"/>
      <c r="F1670"/>
      <c r="G1670" s="120"/>
      <c r="H1670" s="120"/>
      <c r="I1670"/>
    </row>
    <row r="1671" spans="1:9" ht="12.75">
      <c r="A1671"/>
      <c r="B1671"/>
      <c r="C1671"/>
      <c r="D1671"/>
      <c r="E1671"/>
      <c r="F1671"/>
      <c r="G1671" s="120"/>
      <c r="H1671" s="120"/>
      <c r="I1671"/>
    </row>
    <row r="1672" spans="1:9" ht="12.75">
      <c r="A1672"/>
      <c r="B1672"/>
      <c r="C1672"/>
      <c r="D1672"/>
      <c r="E1672"/>
      <c r="F1672"/>
      <c r="G1672" s="120"/>
      <c r="H1672" s="120"/>
      <c r="I1672"/>
    </row>
    <row r="1673" spans="1:9" ht="12.75">
      <c r="A1673"/>
      <c r="B1673"/>
      <c r="C1673"/>
      <c r="D1673"/>
      <c r="E1673"/>
      <c r="F1673"/>
      <c r="G1673" s="120"/>
      <c r="H1673" s="120"/>
      <c r="I1673"/>
    </row>
    <row r="1674" spans="1:9" ht="12.75">
      <c r="A1674"/>
      <c r="B1674"/>
      <c r="C1674"/>
      <c r="D1674"/>
      <c r="E1674"/>
      <c r="F1674"/>
      <c r="G1674" s="120"/>
      <c r="H1674" s="120"/>
      <c r="I1674"/>
    </row>
    <row r="1675" spans="1:9" ht="12.75">
      <c r="A1675"/>
      <c r="B1675"/>
      <c r="C1675"/>
      <c r="D1675"/>
      <c r="E1675"/>
      <c r="F1675"/>
      <c r="G1675" s="120"/>
      <c r="H1675" s="120"/>
      <c r="I1675"/>
    </row>
    <row r="1676" spans="1:9" ht="12.75">
      <c r="A1676"/>
      <c r="B1676"/>
      <c r="C1676"/>
      <c r="D1676"/>
      <c r="E1676"/>
      <c r="F1676"/>
      <c r="G1676" s="120"/>
      <c r="H1676" s="120"/>
      <c r="I1676"/>
    </row>
    <row r="1677" spans="1:9" ht="12.75">
      <c r="A1677"/>
      <c r="B1677"/>
      <c r="C1677"/>
      <c r="D1677"/>
      <c r="E1677"/>
      <c r="F1677"/>
      <c r="G1677" s="120"/>
      <c r="H1677" s="120"/>
      <c r="I1677"/>
    </row>
    <row r="1678" spans="1:9" ht="12.75">
      <c r="A1678"/>
      <c r="B1678"/>
      <c r="C1678"/>
      <c r="D1678"/>
      <c r="E1678"/>
      <c r="F1678"/>
      <c r="G1678" s="120"/>
      <c r="H1678" s="120"/>
      <c r="I1678"/>
    </row>
    <row r="1679" spans="1:9" ht="12.75">
      <c r="A1679"/>
      <c r="B1679"/>
      <c r="C1679"/>
      <c r="D1679"/>
      <c r="E1679"/>
      <c r="F1679"/>
      <c r="G1679" s="120"/>
      <c r="H1679" s="120"/>
      <c r="I1679"/>
    </row>
    <row r="1680" spans="1:9" ht="12.75">
      <c r="A1680"/>
      <c r="B1680"/>
      <c r="C1680"/>
      <c r="D1680"/>
      <c r="E1680"/>
      <c r="F1680"/>
      <c r="G1680" s="120"/>
      <c r="H1680" s="120"/>
      <c r="I1680"/>
    </row>
    <row r="1681" spans="1:9" ht="12.75">
      <c r="A1681"/>
      <c r="B1681"/>
      <c r="C1681"/>
      <c r="D1681"/>
      <c r="E1681"/>
      <c r="F1681"/>
      <c r="G1681" s="120"/>
      <c r="H1681" s="120"/>
      <c r="I1681"/>
    </row>
    <row r="1682" spans="1:9" ht="12.75">
      <c r="A1682"/>
      <c r="B1682"/>
      <c r="C1682"/>
      <c r="D1682"/>
      <c r="E1682"/>
      <c r="F1682"/>
      <c r="G1682" s="120"/>
      <c r="H1682" s="120"/>
      <c r="I1682"/>
    </row>
    <row r="1683" spans="1:9" ht="12.75">
      <c r="A1683"/>
      <c r="B1683"/>
      <c r="C1683"/>
      <c r="D1683"/>
      <c r="E1683"/>
      <c r="F1683"/>
      <c r="G1683" s="120"/>
      <c r="H1683" s="120"/>
      <c r="I1683"/>
    </row>
    <row r="1684" spans="1:9" ht="12.75">
      <c r="A1684"/>
      <c r="B1684"/>
      <c r="C1684"/>
      <c r="D1684"/>
      <c r="E1684"/>
      <c r="F1684"/>
      <c r="G1684" s="120"/>
      <c r="H1684" s="120"/>
      <c r="I1684"/>
    </row>
    <row r="1685" spans="1:9" ht="12.75">
      <c r="A1685"/>
      <c r="B1685"/>
      <c r="C1685"/>
      <c r="D1685"/>
      <c r="E1685"/>
      <c r="F1685"/>
      <c r="G1685" s="120"/>
      <c r="H1685" s="120"/>
      <c r="I1685"/>
    </row>
    <row r="1686" spans="1:9" ht="12.75">
      <c r="A1686"/>
      <c r="B1686"/>
      <c r="C1686"/>
      <c r="D1686"/>
      <c r="E1686"/>
      <c r="F1686"/>
      <c r="G1686" s="120"/>
      <c r="H1686" s="120"/>
      <c r="I1686"/>
    </row>
    <row r="1687" spans="1:9" ht="12.75">
      <c r="A1687"/>
      <c r="B1687"/>
      <c r="C1687"/>
      <c r="D1687"/>
      <c r="E1687"/>
      <c r="F1687"/>
      <c r="G1687" s="120"/>
      <c r="H1687" s="120"/>
      <c r="I1687"/>
    </row>
    <row r="1688" spans="1:9" ht="12.75">
      <c r="A1688"/>
      <c r="B1688"/>
      <c r="C1688"/>
      <c r="D1688"/>
      <c r="E1688"/>
      <c r="F1688"/>
      <c r="G1688" s="120"/>
      <c r="H1688" s="120"/>
      <c r="I1688"/>
    </row>
    <row r="1689" spans="1:9" ht="12.75">
      <c r="A1689"/>
      <c r="B1689"/>
      <c r="C1689"/>
      <c r="D1689"/>
      <c r="E1689"/>
      <c r="F1689"/>
      <c r="G1689" s="120"/>
      <c r="H1689" s="120"/>
      <c r="I1689"/>
    </row>
    <row r="1690" spans="1:9" ht="12.75">
      <c r="A1690"/>
      <c r="B1690"/>
      <c r="C1690"/>
      <c r="D1690"/>
      <c r="E1690"/>
      <c r="F1690"/>
      <c r="G1690" s="120"/>
      <c r="H1690" s="120"/>
      <c r="I1690"/>
    </row>
    <row r="1691" spans="1:9" ht="12.75">
      <c r="A1691"/>
      <c r="B1691"/>
      <c r="C1691"/>
      <c r="D1691"/>
      <c r="E1691"/>
      <c r="F1691"/>
      <c r="G1691" s="120"/>
      <c r="H1691" s="120"/>
      <c r="I1691"/>
    </row>
    <row r="1692" spans="1:9" ht="12.75">
      <c r="A1692"/>
      <c r="B1692"/>
      <c r="C1692"/>
      <c r="D1692"/>
      <c r="E1692"/>
      <c r="F1692"/>
      <c r="G1692" s="120"/>
      <c r="H1692" s="120"/>
      <c r="I1692"/>
    </row>
    <row r="1693" spans="1:9" ht="12.75">
      <c r="A1693"/>
      <c r="B1693"/>
      <c r="C1693"/>
      <c r="D1693"/>
      <c r="E1693"/>
      <c r="F1693"/>
      <c r="G1693" s="120"/>
      <c r="H1693" s="120"/>
      <c r="I1693"/>
    </row>
    <row r="1694" spans="1:9" ht="12.75">
      <c r="A1694"/>
      <c r="B1694"/>
      <c r="C1694"/>
      <c r="D1694"/>
      <c r="E1694"/>
      <c r="F1694"/>
      <c r="G1694" s="120"/>
      <c r="H1694" s="120"/>
      <c r="I1694"/>
    </row>
    <row r="1695" spans="1:9" ht="12.75">
      <c r="A1695"/>
      <c r="B1695"/>
      <c r="C1695"/>
      <c r="D1695"/>
      <c r="E1695"/>
      <c r="F1695"/>
      <c r="G1695" s="120"/>
      <c r="H1695" s="120"/>
      <c r="I1695"/>
    </row>
    <row r="1696" spans="1:9" ht="12.75">
      <c r="A1696"/>
      <c r="B1696"/>
      <c r="C1696"/>
      <c r="D1696"/>
      <c r="E1696"/>
      <c r="F1696"/>
      <c r="G1696" s="120"/>
      <c r="H1696" s="120"/>
      <c r="I1696"/>
    </row>
    <row r="1697" spans="1:9" ht="12.75">
      <c r="A1697"/>
      <c r="B1697"/>
      <c r="C1697"/>
      <c r="D1697"/>
      <c r="E1697"/>
      <c r="F1697"/>
      <c r="G1697" s="120"/>
      <c r="H1697" s="120"/>
      <c r="I1697"/>
    </row>
    <row r="1698" spans="1:9" ht="12.75">
      <c r="A1698"/>
      <c r="B1698"/>
      <c r="C1698"/>
      <c r="D1698"/>
      <c r="E1698"/>
      <c r="F1698"/>
      <c r="G1698" s="120"/>
      <c r="H1698" s="120"/>
      <c r="I1698"/>
    </row>
    <row r="1699" spans="1:9" ht="12.75">
      <c r="A1699"/>
      <c r="B1699"/>
      <c r="C1699"/>
      <c r="D1699"/>
      <c r="E1699"/>
      <c r="F1699"/>
      <c r="G1699" s="120"/>
      <c r="H1699" s="120"/>
      <c r="I1699"/>
    </row>
    <row r="1700" spans="1:9" ht="12.75">
      <c r="A1700"/>
      <c r="B1700"/>
      <c r="C1700"/>
      <c r="D1700"/>
      <c r="E1700"/>
      <c r="F1700"/>
      <c r="G1700" s="120"/>
      <c r="H1700" s="120"/>
      <c r="I1700"/>
    </row>
    <row r="1701" spans="1:9" ht="12.75">
      <c r="A1701"/>
      <c r="B1701"/>
      <c r="C1701"/>
      <c r="D1701"/>
      <c r="E1701"/>
      <c r="F1701"/>
      <c r="G1701" s="120"/>
      <c r="H1701" s="120"/>
      <c r="I1701"/>
    </row>
    <row r="1702" spans="1:9" ht="12.75">
      <c r="A1702"/>
      <c r="B1702"/>
      <c r="C1702"/>
      <c r="D1702"/>
      <c r="E1702"/>
      <c r="F1702"/>
      <c r="G1702" s="120"/>
      <c r="H1702" s="120"/>
      <c r="I1702"/>
    </row>
    <row r="1703" spans="1:9" ht="12.75">
      <c r="A1703"/>
      <c r="B1703"/>
      <c r="C1703"/>
      <c r="D1703"/>
      <c r="E1703"/>
      <c r="F1703"/>
      <c r="G1703" s="120"/>
      <c r="H1703" s="120"/>
      <c r="I1703"/>
    </row>
    <row r="1704" spans="1:9" ht="12.75">
      <c r="A1704"/>
      <c r="B1704"/>
      <c r="C1704"/>
      <c r="D1704"/>
      <c r="E1704"/>
      <c r="F1704"/>
      <c r="G1704" s="120"/>
      <c r="H1704" s="120"/>
      <c r="I1704"/>
    </row>
    <row r="1705" spans="1:9" ht="12.75">
      <c r="A1705"/>
      <c r="B1705"/>
      <c r="C1705"/>
      <c r="D1705"/>
      <c r="E1705"/>
      <c r="F1705"/>
      <c r="G1705" s="120"/>
      <c r="H1705" s="120"/>
      <c r="I1705"/>
    </row>
    <row r="1706" spans="1:9" ht="12.75">
      <c r="A1706"/>
      <c r="B1706"/>
      <c r="C1706"/>
      <c r="D1706"/>
      <c r="E1706"/>
      <c r="F1706"/>
      <c r="G1706" s="120"/>
      <c r="H1706" s="120"/>
      <c r="I1706"/>
    </row>
    <row r="1707" spans="1:9" ht="12.75">
      <c r="A1707"/>
      <c r="B1707"/>
      <c r="C1707"/>
      <c r="D1707"/>
      <c r="E1707"/>
      <c r="F1707"/>
      <c r="G1707" s="120"/>
      <c r="H1707" s="120"/>
      <c r="I1707"/>
    </row>
    <row r="1708" spans="1:9" ht="12.75">
      <c r="A1708"/>
      <c r="B1708"/>
      <c r="C1708"/>
      <c r="D1708"/>
      <c r="E1708"/>
      <c r="F1708"/>
      <c r="G1708" s="120"/>
      <c r="H1708" s="120"/>
      <c r="I1708"/>
    </row>
    <row r="1709" spans="1:9" ht="12.75">
      <c r="A1709"/>
      <c r="B1709"/>
      <c r="C1709"/>
      <c r="D1709"/>
      <c r="E1709"/>
      <c r="F1709"/>
      <c r="G1709" s="120"/>
      <c r="H1709" s="120"/>
      <c r="I1709"/>
    </row>
    <row r="1710" spans="1:9" ht="12.75">
      <c r="A1710"/>
      <c r="B1710"/>
      <c r="C1710"/>
      <c r="D1710"/>
      <c r="E1710"/>
      <c r="F1710"/>
      <c r="G1710" s="120"/>
      <c r="H1710" s="120"/>
      <c r="I1710"/>
    </row>
    <row r="1711" spans="1:9" ht="12.75">
      <c r="A1711"/>
      <c r="B1711"/>
      <c r="C1711"/>
      <c r="D1711"/>
      <c r="E1711"/>
      <c r="F1711"/>
      <c r="G1711" s="120"/>
      <c r="H1711" s="120"/>
      <c r="I1711"/>
    </row>
    <row r="1712" spans="1:9" ht="12.75">
      <c r="A1712"/>
      <c r="B1712"/>
      <c r="C1712"/>
      <c r="D1712"/>
      <c r="E1712"/>
      <c r="F1712"/>
      <c r="G1712" s="120"/>
      <c r="H1712" s="120"/>
      <c r="I1712"/>
    </row>
    <row r="1713" spans="1:9" ht="12.75">
      <c r="A1713"/>
      <c r="B1713"/>
      <c r="C1713"/>
      <c r="D1713"/>
      <c r="E1713"/>
      <c r="F1713"/>
      <c r="G1713" s="120"/>
      <c r="H1713" s="120"/>
      <c r="I1713"/>
    </row>
    <row r="1714" spans="1:9" ht="12.75">
      <c r="A1714"/>
      <c r="B1714"/>
      <c r="C1714"/>
      <c r="D1714"/>
      <c r="E1714"/>
      <c r="F1714"/>
      <c r="G1714" s="120"/>
      <c r="H1714" s="120"/>
      <c r="I1714"/>
    </row>
    <row r="1715" spans="1:9" ht="12.75">
      <c r="A1715"/>
      <c r="B1715"/>
      <c r="C1715"/>
      <c r="D1715"/>
      <c r="E1715"/>
      <c r="F1715"/>
      <c r="G1715" s="120"/>
      <c r="H1715" s="120"/>
      <c r="I1715"/>
    </row>
    <row r="1716" spans="1:9" ht="12.75">
      <c r="A1716"/>
      <c r="B1716"/>
      <c r="C1716"/>
      <c r="D1716"/>
      <c r="E1716"/>
      <c r="F1716"/>
      <c r="G1716" s="120"/>
      <c r="H1716" s="120"/>
      <c r="I1716"/>
    </row>
    <row r="1717" spans="1:9" ht="12.75">
      <c r="A1717"/>
      <c r="B1717"/>
      <c r="C1717"/>
      <c r="D1717"/>
      <c r="E1717"/>
      <c r="F1717"/>
      <c r="G1717" s="120"/>
      <c r="H1717" s="120"/>
      <c r="I1717"/>
    </row>
    <row r="1718" spans="1:9" ht="12.75">
      <c r="A1718"/>
      <c r="B1718"/>
      <c r="C1718"/>
      <c r="D1718"/>
      <c r="E1718"/>
      <c r="F1718"/>
      <c r="G1718" s="120"/>
      <c r="H1718" s="120"/>
      <c r="I1718"/>
    </row>
    <row r="1719" spans="1:9" ht="12.75">
      <c r="A1719"/>
      <c r="B1719"/>
      <c r="C1719"/>
      <c r="D1719"/>
      <c r="E1719"/>
      <c r="F1719"/>
      <c r="G1719" s="120"/>
      <c r="H1719" s="120"/>
      <c r="I1719"/>
    </row>
    <row r="1720" spans="1:9" ht="12.75">
      <c r="A1720"/>
      <c r="B1720"/>
      <c r="C1720"/>
      <c r="D1720"/>
      <c r="E1720"/>
      <c r="F1720"/>
      <c r="G1720" s="120"/>
      <c r="H1720" s="120"/>
      <c r="I1720"/>
    </row>
    <row r="1721" spans="1:9" ht="12.75">
      <c r="A1721"/>
      <c r="B1721"/>
      <c r="C1721"/>
      <c r="D1721"/>
      <c r="E1721"/>
      <c r="F1721"/>
      <c r="G1721" s="120"/>
      <c r="H1721" s="120"/>
      <c r="I1721"/>
    </row>
    <row r="1722" spans="1:9" ht="12.75">
      <c r="A1722"/>
      <c r="B1722"/>
      <c r="C1722"/>
      <c r="D1722"/>
      <c r="E1722"/>
      <c r="F1722"/>
      <c r="G1722" s="120"/>
      <c r="H1722" s="120"/>
      <c r="I1722"/>
    </row>
    <row r="1723" spans="1:9" ht="12.75">
      <c r="A1723"/>
      <c r="B1723"/>
      <c r="C1723"/>
      <c r="D1723"/>
      <c r="E1723"/>
      <c r="F1723"/>
      <c r="G1723" s="120"/>
      <c r="H1723" s="120"/>
      <c r="I1723"/>
    </row>
    <row r="1724" spans="1:9" ht="12.75">
      <c r="A1724"/>
      <c r="B1724"/>
      <c r="C1724"/>
      <c r="D1724"/>
      <c r="E1724"/>
      <c r="F1724"/>
      <c r="G1724" s="120"/>
      <c r="H1724" s="120"/>
      <c r="I1724"/>
    </row>
    <row r="1725" spans="1:9" ht="12.75">
      <c r="A1725"/>
      <c r="B1725"/>
      <c r="C1725"/>
      <c r="D1725"/>
      <c r="E1725"/>
      <c r="F1725"/>
      <c r="G1725" s="120"/>
      <c r="H1725" s="120"/>
      <c r="I1725"/>
    </row>
    <row r="1726" spans="1:9" ht="12.75">
      <c r="A1726"/>
      <c r="B1726"/>
      <c r="C1726"/>
      <c r="D1726"/>
      <c r="E1726"/>
      <c r="F1726"/>
      <c r="G1726" s="120"/>
      <c r="H1726" s="120"/>
      <c r="I1726"/>
    </row>
    <row r="1727" spans="1:9" ht="12.75">
      <c r="A1727"/>
      <c r="B1727"/>
      <c r="C1727"/>
      <c r="D1727"/>
      <c r="E1727"/>
      <c r="F1727"/>
      <c r="G1727" s="120"/>
      <c r="H1727" s="120"/>
      <c r="I1727"/>
    </row>
    <row r="1728" spans="1:9" ht="12.75">
      <c r="A1728"/>
      <c r="B1728"/>
      <c r="C1728"/>
      <c r="D1728"/>
      <c r="E1728"/>
      <c r="F1728"/>
      <c r="G1728" s="120"/>
      <c r="H1728" s="120"/>
      <c r="I1728"/>
    </row>
    <row r="1729" spans="1:9" ht="12.75">
      <c r="A1729"/>
      <c r="B1729"/>
      <c r="C1729"/>
      <c r="D1729"/>
      <c r="E1729"/>
      <c r="F1729"/>
      <c r="G1729" s="120"/>
      <c r="H1729" s="120"/>
      <c r="I1729"/>
    </row>
    <row r="1730" spans="1:9" ht="12.75">
      <c r="A1730"/>
      <c r="B1730"/>
      <c r="C1730"/>
      <c r="D1730"/>
      <c r="E1730"/>
      <c r="F1730"/>
      <c r="G1730" s="120"/>
      <c r="H1730" s="120"/>
      <c r="I1730"/>
    </row>
    <row r="1731" spans="1:9" ht="12.75">
      <c r="A1731"/>
      <c r="B1731"/>
      <c r="C1731"/>
      <c r="D1731"/>
      <c r="E1731"/>
      <c r="F1731"/>
      <c r="G1731" s="120"/>
      <c r="H1731" s="120"/>
      <c r="I1731"/>
    </row>
    <row r="1732" spans="1:9" ht="12.75">
      <c r="A1732"/>
      <c r="B1732"/>
      <c r="C1732"/>
      <c r="D1732"/>
      <c r="E1732"/>
      <c r="F1732"/>
      <c r="G1732" s="120"/>
      <c r="H1732" s="120"/>
      <c r="I1732"/>
    </row>
    <row r="1733" spans="1:9" ht="12.75">
      <c r="A1733"/>
      <c r="B1733"/>
      <c r="C1733"/>
      <c r="D1733"/>
      <c r="E1733"/>
      <c r="F1733"/>
      <c r="G1733" s="120"/>
      <c r="H1733" s="120"/>
      <c r="I1733"/>
    </row>
    <row r="1734" spans="1:9" ht="12.75">
      <c r="A1734"/>
      <c r="B1734"/>
      <c r="C1734"/>
      <c r="D1734"/>
      <c r="E1734"/>
      <c r="F1734"/>
      <c r="G1734" s="120"/>
      <c r="H1734" s="120"/>
      <c r="I1734"/>
    </row>
    <row r="1735" spans="1:9" ht="12.75">
      <c r="A1735"/>
      <c r="B1735"/>
      <c r="C1735"/>
      <c r="D1735"/>
      <c r="E1735"/>
      <c r="F1735"/>
      <c r="G1735" s="120"/>
      <c r="H1735" s="120"/>
      <c r="I1735"/>
    </row>
    <row r="1736" spans="1:9" ht="12.75">
      <c r="A1736"/>
      <c r="B1736"/>
      <c r="C1736"/>
      <c r="D1736"/>
      <c r="E1736"/>
      <c r="F1736"/>
      <c r="G1736" s="120"/>
      <c r="H1736" s="120"/>
      <c r="I1736"/>
    </row>
    <row r="1737" spans="1:9" ht="12.75">
      <c r="A1737"/>
      <c r="B1737"/>
      <c r="C1737"/>
      <c r="D1737"/>
      <c r="E1737"/>
      <c r="F1737"/>
      <c r="G1737" s="120"/>
      <c r="H1737" s="120"/>
      <c r="I1737"/>
    </row>
    <row r="1738" spans="1:9" ht="12.75">
      <c r="A1738"/>
      <c r="B1738"/>
      <c r="C1738"/>
      <c r="D1738"/>
      <c r="E1738"/>
      <c r="F1738"/>
      <c r="G1738" s="120"/>
      <c r="H1738" s="120"/>
      <c r="I1738"/>
    </row>
    <row r="1739" spans="1:9" ht="12.75">
      <c r="A1739"/>
      <c r="B1739"/>
      <c r="C1739"/>
      <c r="D1739"/>
      <c r="E1739"/>
      <c r="F1739"/>
      <c r="G1739" s="120"/>
      <c r="H1739" s="120"/>
      <c r="I1739"/>
    </row>
    <row r="1740" spans="1:9" ht="12.75">
      <c r="A1740"/>
      <c r="B1740"/>
      <c r="C1740"/>
      <c r="D1740"/>
      <c r="E1740"/>
      <c r="F1740"/>
      <c r="G1740" s="120"/>
      <c r="H1740" s="120"/>
      <c r="I1740"/>
    </row>
    <row r="1741" spans="1:9" ht="12.75">
      <c r="A1741"/>
      <c r="B1741"/>
      <c r="C1741"/>
      <c r="D1741"/>
      <c r="E1741"/>
      <c r="F1741"/>
      <c r="G1741" s="120"/>
      <c r="H1741" s="120"/>
      <c r="I1741"/>
    </row>
    <row r="1742" spans="1:9" ht="12.75">
      <c r="A1742"/>
      <c r="B1742"/>
      <c r="C1742"/>
      <c r="D1742"/>
      <c r="E1742"/>
      <c r="F1742"/>
      <c r="G1742" s="120"/>
      <c r="H1742" s="120"/>
      <c r="I1742"/>
    </row>
    <row r="1743" spans="1:9" ht="12.75">
      <c r="A1743"/>
      <c r="B1743"/>
      <c r="C1743"/>
      <c r="D1743"/>
      <c r="E1743"/>
      <c r="F1743"/>
      <c r="G1743" s="120"/>
      <c r="H1743" s="120"/>
      <c r="I1743"/>
    </row>
    <row r="1744" spans="1:9" ht="12.75">
      <c r="A1744"/>
      <c r="B1744"/>
      <c r="C1744"/>
      <c r="D1744"/>
      <c r="E1744"/>
      <c r="F1744"/>
      <c r="G1744" s="120"/>
      <c r="H1744" s="120"/>
      <c r="I1744"/>
    </row>
    <row r="1745" spans="1:9" ht="12.75">
      <c r="A1745"/>
      <c r="B1745"/>
      <c r="C1745"/>
      <c r="D1745"/>
      <c r="E1745"/>
      <c r="F1745"/>
      <c r="G1745" s="120"/>
      <c r="H1745" s="120"/>
      <c r="I1745"/>
    </row>
    <row r="1746" spans="1:9" ht="12.75">
      <c r="A1746"/>
      <c r="B1746"/>
      <c r="C1746"/>
      <c r="D1746"/>
      <c r="E1746"/>
      <c r="F1746"/>
      <c r="G1746" s="120"/>
      <c r="H1746" s="120"/>
      <c r="I1746"/>
    </row>
    <row r="1747" spans="1:9" ht="12.75">
      <c r="A1747"/>
      <c r="B1747"/>
      <c r="C1747"/>
      <c r="D1747"/>
      <c r="E1747"/>
      <c r="F1747"/>
      <c r="G1747" s="120"/>
      <c r="H1747" s="120"/>
      <c r="I1747"/>
    </row>
    <row r="1748" spans="1:9" ht="12.75">
      <c r="A1748"/>
      <c r="B1748"/>
      <c r="C1748"/>
      <c r="D1748"/>
      <c r="E1748"/>
      <c r="F1748"/>
      <c r="G1748" s="120"/>
      <c r="H1748" s="120"/>
      <c r="I1748"/>
    </row>
    <row r="1749" spans="1:9" ht="12.75">
      <c r="A1749"/>
      <c r="B1749"/>
      <c r="C1749"/>
      <c r="D1749"/>
      <c r="E1749"/>
      <c r="F1749"/>
      <c r="G1749" s="120"/>
      <c r="H1749" s="120"/>
      <c r="I1749"/>
    </row>
    <row r="1750" spans="1:9" ht="12.75">
      <c r="A1750"/>
      <c r="B1750"/>
      <c r="C1750"/>
      <c r="D1750"/>
      <c r="E1750"/>
      <c r="F1750"/>
      <c r="G1750" s="120"/>
      <c r="H1750" s="120"/>
      <c r="I1750"/>
    </row>
    <row r="1751" spans="1:9" ht="12.75">
      <c r="A1751"/>
      <c r="B1751"/>
      <c r="C1751"/>
      <c r="D1751"/>
      <c r="E1751"/>
      <c r="F1751"/>
      <c r="G1751" s="120"/>
      <c r="H1751" s="120"/>
      <c r="I1751"/>
    </row>
    <row r="1752" spans="1:9" ht="12.75">
      <c r="A1752"/>
      <c r="B1752"/>
      <c r="C1752"/>
      <c r="D1752"/>
      <c r="E1752"/>
      <c r="F1752"/>
      <c r="G1752" s="120"/>
      <c r="H1752" s="120"/>
      <c r="I1752"/>
    </row>
    <row r="1753" spans="1:9" ht="12.75">
      <c r="A1753"/>
      <c r="B1753"/>
      <c r="C1753"/>
      <c r="D1753"/>
      <c r="E1753"/>
      <c r="F1753"/>
      <c r="G1753" s="120"/>
      <c r="H1753" s="120"/>
      <c r="I1753"/>
    </row>
    <row r="1754" spans="1:9" ht="12.75">
      <c r="A1754"/>
      <c r="B1754"/>
      <c r="C1754"/>
      <c r="D1754"/>
      <c r="E1754"/>
      <c r="F1754"/>
      <c r="G1754" s="120"/>
      <c r="H1754" s="120"/>
      <c r="I1754"/>
    </row>
    <row r="1755" spans="1:9" ht="12.75">
      <c r="A1755"/>
      <c r="B1755"/>
      <c r="C1755"/>
      <c r="D1755"/>
      <c r="E1755"/>
      <c r="F1755"/>
      <c r="G1755" s="120"/>
      <c r="H1755" s="120"/>
      <c r="I1755"/>
    </row>
    <row r="1756" spans="1:9" ht="12.75">
      <c r="A1756"/>
      <c r="B1756"/>
      <c r="C1756"/>
      <c r="D1756"/>
      <c r="E1756"/>
      <c r="F1756"/>
      <c r="G1756" s="120"/>
      <c r="H1756" s="120"/>
      <c r="I1756"/>
    </row>
    <row r="1757" spans="1:9" ht="12.75">
      <c r="A1757"/>
      <c r="B1757"/>
      <c r="C1757"/>
      <c r="D1757"/>
      <c r="E1757"/>
      <c r="F1757"/>
      <c r="G1757" s="120"/>
      <c r="H1757" s="120"/>
      <c r="I1757"/>
    </row>
    <row r="1758" spans="1:9" ht="12.75">
      <c r="A1758"/>
      <c r="B1758"/>
      <c r="C1758"/>
      <c r="D1758"/>
      <c r="E1758"/>
      <c r="F1758"/>
      <c r="G1758" s="120"/>
      <c r="H1758" s="120"/>
      <c r="I1758"/>
    </row>
    <row r="1759" spans="1:9" ht="12.75">
      <c r="A1759"/>
      <c r="B1759"/>
      <c r="C1759"/>
      <c r="D1759"/>
      <c r="E1759"/>
      <c r="F1759"/>
      <c r="G1759" s="120"/>
      <c r="H1759" s="120"/>
      <c r="I1759"/>
    </row>
    <row r="1760" spans="1:9" ht="12.75">
      <c r="A1760"/>
      <c r="B1760"/>
      <c r="C1760"/>
      <c r="D1760"/>
      <c r="E1760"/>
      <c r="F1760"/>
      <c r="G1760" s="120"/>
      <c r="H1760" s="120"/>
      <c r="I1760"/>
    </row>
    <row r="1761" spans="1:9" ht="12.75">
      <c r="A1761"/>
      <c r="B1761"/>
      <c r="C1761"/>
      <c r="D1761"/>
      <c r="E1761"/>
      <c r="F1761"/>
      <c r="G1761" s="120"/>
      <c r="H1761" s="120"/>
      <c r="I1761"/>
    </row>
    <row r="1762" spans="1:9" ht="12.75">
      <c r="A1762"/>
      <c r="B1762"/>
      <c r="C1762"/>
      <c r="D1762"/>
      <c r="E1762"/>
      <c r="F1762"/>
      <c r="G1762" s="120"/>
      <c r="H1762" s="120"/>
      <c r="I1762"/>
    </row>
    <row r="1763" spans="1:9" ht="12.75">
      <c r="A1763"/>
      <c r="B1763"/>
      <c r="C1763"/>
      <c r="D1763"/>
      <c r="E1763"/>
      <c r="F1763"/>
      <c r="G1763" s="120"/>
      <c r="H1763" s="120"/>
      <c r="I1763"/>
    </row>
    <row r="1764" spans="1:9" ht="12.75">
      <c r="A1764"/>
      <c r="B1764"/>
      <c r="C1764"/>
      <c r="D1764"/>
      <c r="E1764"/>
      <c r="F1764"/>
      <c r="G1764" s="120"/>
      <c r="H1764" s="120"/>
      <c r="I1764"/>
    </row>
    <row r="1765" spans="1:9" ht="12.75">
      <c r="A1765"/>
      <c r="B1765"/>
      <c r="C1765"/>
      <c r="D1765"/>
      <c r="E1765"/>
      <c r="F1765"/>
      <c r="G1765" s="120"/>
      <c r="H1765" s="120"/>
      <c r="I1765"/>
    </row>
    <row r="1766" spans="1:9" ht="12.75">
      <c r="A1766"/>
      <c r="B1766"/>
      <c r="C1766"/>
      <c r="D1766"/>
      <c r="E1766"/>
      <c r="F1766"/>
      <c r="G1766" s="120"/>
      <c r="H1766" s="120"/>
      <c r="I1766"/>
    </row>
    <row r="1767" spans="1:9" ht="12.75">
      <c r="A1767"/>
      <c r="B1767"/>
      <c r="C1767"/>
      <c r="D1767"/>
      <c r="E1767"/>
      <c r="F1767"/>
      <c r="G1767" s="120"/>
      <c r="H1767" s="120"/>
      <c r="I1767"/>
    </row>
    <row r="1768" spans="1:9" ht="12.75">
      <c r="A1768"/>
      <c r="B1768"/>
      <c r="C1768"/>
      <c r="D1768"/>
      <c r="E1768"/>
      <c r="F1768"/>
      <c r="G1768" s="120"/>
      <c r="H1768" s="120"/>
      <c r="I1768"/>
    </row>
    <row r="1769" spans="1:9" ht="12.75">
      <c r="A1769"/>
      <c r="B1769"/>
      <c r="C1769"/>
      <c r="D1769"/>
      <c r="E1769"/>
      <c r="F1769"/>
      <c r="G1769" s="120"/>
      <c r="H1769" s="120"/>
      <c r="I1769"/>
    </row>
    <row r="1770" spans="1:9" ht="12.75">
      <c r="A1770"/>
      <c r="B1770"/>
      <c r="C1770"/>
      <c r="D1770"/>
      <c r="E1770"/>
      <c r="F1770"/>
      <c r="G1770" s="120"/>
      <c r="H1770" s="120"/>
      <c r="I1770"/>
    </row>
    <row r="1771" spans="1:9" ht="12.75">
      <c r="A1771"/>
      <c r="B1771"/>
      <c r="C1771"/>
      <c r="D1771"/>
      <c r="E1771"/>
      <c r="F1771"/>
      <c r="G1771" s="120"/>
      <c r="H1771" s="120"/>
      <c r="I1771"/>
    </row>
    <row r="1772" spans="1:9" ht="12.75">
      <c r="A1772"/>
      <c r="B1772"/>
      <c r="C1772"/>
      <c r="D1772"/>
      <c r="E1772"/>
      <c r="F1772"/>
      <c r="G1772" s="120"/>
      <c r="H1772" s="120"/>
      <c r="I1772"/>
    </row>
    <row r="1773" spans="1:9" ht="12.75">
      <c r="A1773"/>
      <c r="B1773"/>
      <c r="C1773"/>
      <c r="D1773"/>
      <c r="E1773"/>
      <c r="F1773"/>
      <c r="G1773" s="120"/>
      <c r="H1773" s="120"/>
      <c r="I1773"/>
    </row>
    <row r="1774" spans="1:9" ht="12.75">
      <c r="A1774"/>
      <c r="B1774"/>
      <c r="C1774"/>
      <c r="D1774"/>
      <c r="E1774"/>
      <c r="F1774"/>
      <c r="G1774" s="120"/>
      <c r="H1774" s="120"/>
      <c r="I1774"/>
    </row>
    <row r="1775" spans="1:9" ht="12.75">
      <c r="A1775"/>
      <c r="B1775"/>
      <c r="C1775"/>
      <c r="D1775"/>
      <c r="E1775"/>
      <c r="F1775"/>
      <c r="G1775" s="120"/>
      <c r="H1775" s="120"/>
      <c r="I1775"/>
    </row>
    <row r="1776" spans="1:9" ht="12.75">
      <c r="A1776"/>
      <c r="B1776"/>
      <c r="C1776"/>
      <c r="D1776"/>
      <c r="E1776"/>
      <c r="F1776"/>
      <c r="G1776" s="120"/>
      <c r="H1776" s="120"/>
      <c r="I1776"/>
    </row>
    <row r="1777" spans="1:9" ht="12.75">
      <c r="A1777"/>
      <c r="B1777"/>
      <c r="C1777"/>
      <c r="D1777"/>
      <c r="E1777"/>
      <c r="F1777"/>
      <c r="G1777" s="120"/>
      <c r="H1777" s="120"/>
      <c r="I1777"/>
    </row>
    <row r="1778" spans="1:9" ht="12.75">
      <c r="A1778"/>
      <c r="B1778"/>
      <c r="C1778"/>
      <c r="D1778"/>
      <c r="E1778"/>
      <c r="F1778"/>
      <c r="G1778" s="120"/>
      <c r="H1778" s="120"/>
      <c r="I1778"/>
    </row>
    <row r="1779" spans="1:9" ht="12.75">
      <c r="A1779"/>
      <c r="B1779"/>
      <c r="C1779"/>
      <c r="D1779"/>
      <c r="E1779"/>
      <c r="F1779"/>
      <c r="G1779" s="120"/>
      <c r="H1779" s="120"/>
      <c r="I1779"/>
    </row>
    <row r="1780" spans="1:9" ht="12.75">
      <c r="A1780"/>
      <c r="B1780"/>
      <c r="C1780"/>
      <c r="D1780"/>
      <c r="E1780"/>
      <c r="F1780"/>
      <c r="G1780" s="120"/>
      <c r="H1780" s="120"/>
      <c r="I1780"/>
    </row>
    <row r="1781" spans="1:9" ht="12.75">
      <c r="A1781"/>
      <c r="B1781"/>
      <c r="C1781"/>
      <c r="D1781"/>
      <c r="E1781"/>
      <c r="F1781"/>
      <c r="G1781" s="120"/>
      <c r="H1781" s="120"/>
      <c r="I1781"/>
    </row>
    <row r="1782" spans="1:9" ht="12.75">
      <c r="A1782"/>
      <c r="B1782"/>
      <c r="C1782"/>
      <c r="D1782"/>
      <c r="E1782"/>
      <c r="F1782"/>
      <c r="G1782" s="120"/>
      <c r="H1782" s="120"/>
      <c r="I1782"/>
    </row>
    <row r="1783" spans="1:9" ht="12.75">
      <c r="A1783"/>
      <c r="B1783"/>
      <c r="C1783"/>
      <c r="D1783"/>
      <c r="E1783"/>
      <c r="F1783"/>
      <c r="G1783" s="120"/>
      <c r="H1783" s="120"/>
      <c r="I1783"/>
    </row>
    <row r="1784" spans="1:9" ht="12.75">
      <c r="A1784"/>
      <c r="B1784"/>
      <c r="C1784"/>
      <c r="D1784"/>
      <c r="E1784"/>
      <c r="F1784"/>
      <c r="G1784" s="120"/>
      <c r="H1784" s="120"/>
      <c r="I1784"/>
    </row>
    <row r="1785" spans="1:9" ht="12.75">
      <c r="A1785"/>
      <c r="B1785"/>
      <c r="C1785"/>
      <c r="D1785"/>
      <c r="E1785"/>
      <c r="F1785"/>
      <c r="G1785" s="120"/>
      <c r="H1785" s="120"/>
      <c r="I1785"/>
    </row>
    <row r="1786" spans="1:9" ht="12.75">
      <c r="A1786"/>
      <c r="B1786"/>
      <c r="C1786"/>
      <c r="D1786"/>
      <c r="E1786"/>
      <c r="F1786"/>
      <c r="G1786" s="120"/>
      <c r="H1786" s="120"/>
      <c r="I1786"/>
    </row>
    <row r="1787" spans="1:9" ht="12.75">
      <c r="A1787"/>
      <c r="B1787"/>
      <c r="C1787"/>
      <c r="D1787"/>
      <c r="E1787"/>
      <c r="F1787"/>
      <c r="G1787" s="120"/>
      <c r="H1787" s="120"/>
      <c r="I1787"/>
    </row>
    <row r="1788" spans="1:9" ht="12.75">
      <c r="A1788"/>
      <c r="B1788"/>
      <c r="C1788"/>
      <c r="D1788"/>
      <c r="E1788"/>
      <c r="F1788"/>
      <c r="G1788" s="120"/>
      <c r="H1788" s="120"/>
      <c r="I1788"/>
    </row>
    <row r="1789" spans="1:9" ht="12.75">
      <c r="A1789"/>
      <c r="B1789"/>
      <c r="C1789"/>
      <c r="D1789"/>
      <c r="E1789"/>
      <c r="F1789"/>
      <c r="G1789" s="120"/>
      <c r="H1789" s="120"/>
      <c r="I1789"/>
    </row>
    <row r="1790" spans="1:9" ht="12.75">
      <c r="A1790"/>
      <c r="B1790"/>
      <c r="C1790"/>
      <c r="D1790"/>
      <c r="E1790"/>
      <c r="F1790"/>
      <c r="G1790" s="120"/>
      <c r="H1790" s="120"/>
      <c r="I1790"/>
    </row>
    <row r="1791" spans="1:9" ht="12.75">
      <c r="A1791"/>
      <c r="B1791"/>
      <c r="C1791"/>
      <c r="D1791"/>
      <c r="E1791"/>
      <c r="F1791"/>
      <c r="G1791" s="120"/>
      <c r="H1791" s="120"/>
      <c r="I1791"/>
    </row>
    <row r="1792" spans="1:9" ht="12.75">
      <c r="A1792"/>
      <c r="B1792"/>
      <c r="C1792"/>
      <c r="D1792"/>
      <c r="E1792"/>
      <c r="F1792"/>
      <c r="G1792" s="120"/>
      <c r="H1792" s="120"/>
      <c r="I1792"/>
    </row>
    <row r="1793" spans="1:9" ht="12.75">
      <c r="A1793"/>
      <c r="B1793"/>
      <c r="C1793"/>
      <c r="D1793"/>
      <c r="E1793"/>
      <c r="F1793"/>
      <c r="G1793" s="120"/>
      <c r="H1793" s="120"/>
      <c r="I1793"/>
    </row>
    <row r="1794" spans="1:9" ht="12.75">
      <c r="A1794"/>
      <c r="B1794"/>
      <c r="C1794"/>
      <c r="D1794"/>
      <c r="E1794"/>
      <c r="F1794"/>
      <c r="G1794" s="120"/>
      <c r="H1794" s="120"/>
      <c r="I1794"/>
    </row>
    <row r="1795" spans="1:9" ht="12.75">
      <c r="A1795"/>
      <c r="B1795"/>
      <c r="C1795"/>
      <c r="D1795"/>
      <c r="E1795"/>
      <c r="F1795"/>
      <c r="G1795" s="120"/>
      <c r="H1795" s="120"/>
      <c r="I1795"/>
    </row>
    <row r="1796" spans="1:9" ht="12.75">
      <c r="A1796"/>
      <c r="B1796"/>
      <c r="C1796"/>
      <c r="D1796"/>
      <c r="E1796"/>
      <c r="F1796"/>
      <c r="G1796" s="120"/>
      <c r="H1796" s="120"/>
      <c r="I1796"/>
    </row>
    <row r="1797" spans="1:9" ht="12.75">
      <c r="A1797"/>
      <c r="B1797"/>
      <c r="C1797"/>
      <c r="D1797"/>
      <c r="E1797"/>
      <c r="F1797"/>
      <c r="G1797" s="120"/>
      <c r="H1797" s="120"/>
      <c r="I1797"/>
    </row>
    <row r="1798" spans="1:9" ht="12.75">
      <c r="A1798"/>
      <c r="B1798"/>
      <c r="C1798"/>
      <c r="D1798"/>
      <c r="E1798"/>
      <c r="F1798"/>
      <c r="G1798" s="120"/>
      <c r="H1798" s="120"/>
      <c r="I1798"/>
    </row>
    <row r="1799" spans="1:9" ht="12.75">
      <c r="A1799"/>
      <c r="B1799"/>
      <c r="C1799"/>
      <c r="D1799"/>
      <c r="E1799"/>
      <c r="F1799"/>
      <c r="G1799" s="120"/>
      <c r="H1799" s="120"/>
      <c r="I1799"/>
    </row>
    <row r="1800" spans="1:9" ht="12.75">
      <c r="A1800"/>
      <c r="B1800"/>
      <c r="C1800"/>
      <c r="D1800"/>
      <c r="E1800"/>
      <c r="F1800"/>
      <c r="G1800" s="120"/>
      <c r="H1800" s="120"/>
      <c r="I1800"/>
    </row>
    <row r="1801" spans="1:9" ht="12.75">
      <c r="A1801"/>
      <c r="B1801"/>
      <c r="C1801"/>
      <c r="D1801"/>
      <c r="E1801"/>
      <c r="F1801"/>
      <c r="G1801" s="120"/>
      <c r="H1801" s="120"/>
      <c r="I1801"/>
    </row>
    <row r="1802" spans="1:9" ht="12.75">
      <c r="A1802"/>
      <c r="B1802"/>
      <c r="C1802"/>
      <c r="D1802"/>
      <c r="E1802"/>
      <c r="F1802"/>
      <c r="G1802" s="120"/>
      <c r="H1802" s="120"/>
      <c r="I1802"/>
    </row>
    <row r="1803" spans="1:9" ht="12.75">
      <c r="A1803"/>
      <c r="B1803"/>
      <c r="C1803"/>
      <c r="D1803"/>
      <c r="E1803"/>
      <c r="F1803"/>
      <c r="G1803" s="120"/>
      <c r="H1803" s="120"/>
      <c r="I1803"/>
    </row>
    <row r="1804" spans="1:9" ht="12.75">
      <c r="A1804"/>
      <c r="B1804"/>
      <c r="C1804"/>
      <c r="D1804"/>
      <c r="E1804"/>
      <c r="F1804"/>
      <c r="G1804" s="120"/>
      <c r="H1804" s="120"/>
      <c r="I1804"/>
    </row>
    <row r="1805" spans="1:9" ht="12.75">
      <c r="A1805"/>
      <c r="B1805"/>
      <c r="C1805"/>
      <c r="D1805"/>
      <c r="E1805"/>
      <c r="F1805"/>
      <c r="G1805" s="120"/>
      <c r="H1805" s="120"/>
      <c r="I1805"/>
    </row>
    <row r="1806" spans="1:9" ht="12.75">
      <c r="A1806"/>
      <c r="B1806"/>
      <c r="C1806"/>
      <c r="D1806"/>
      <c r="E1806"/>
      <c r="F1806"/>
      <c r="G1806" s="120"/>
      <c r="H1806" s="120"/>
      <c r="I1806"/>
    </row>
    <row r="1807" spans="1:9" ht="12.75">
      <c r="A1807"/>
      <c r="B1807"/>
      <c r="C1807"/>
      <c r="D1807"/>
      <c r="E1807"/>
      <c r="F1807"/>
      <c r="G1807" s="120"/>
      <c r="H1807" s="120"/>
      <c r="I1807"/>
    </row>
    <row r="1808" spans="1:9" ht="12.75">
      <c r="A1808"/>
      <c r="B1808"/>
      <c r="C1808"/>
      <c r="D1808"/>
      <c r="E1808"/>
      <c r="F1808"/>
      <c r="G1808" s="120"/>
      <c r="H1808" s="120"/>
      <c r="I1808"/>
    </row>
    <row r="1809" spans="1:9" ht="12.75">
      <c r="A1809"/>
      <c r="B1809"/>
      <c r="C1809"/>
      <c r="D1809"/>
      <c r="E1809"/>
      <c r="F1809"/>
      <c r="G1809" s="120"/>
      <c r="H1809" s="120"/>
      <c r="I1809"/>
    </row>
    <row r="1810" spans="1:9" ht="12.75">
      <c r="A1810"/>
      <c r="B1810"/>
      <c r="C1810"/>
      <c r="D1810"/>
      <c r="E1810"/>
      <c r="F1810"/>
      <c r="G1810" s="120"/>
      <c r="H1810" s="120"/>
      <c r="I1810"/>
    </row>
    <row r="1811" spans="1:9" ht="12.75">
      <c r="A1811"/>
      <c r="B1811"/>
      <c r="C1811"/>
      <c r="D1811"/>
      <c r="E1811"/>
      <c r="F1811"/>
      <c r="G1811" s="120"/>
      <c r="H1811" s="120"/>
      <c r="I1811"/>
    </row>
    <row r="1812" spans="1:9" ht="12.75">
      <c r="A1812"/>
      <c r="B1812"/>
      <c r="C1812"/>
      <c r="D1812"/>
      <c r="E1812"/>
      <c r="F1812"/>
      <c r="G1812" s="120"/>
      <c r="H1812" s="120"/>
      <c r="I1812"/>
    </row>
    <row r="1813" spans="1:9" ht="12.75">
      <c r="A1813"/>
      <c r="B1813"/>
      <c r="C1813"/>
      <c r="D1813"/>
      <c r="E1813"/>
      <c r="F1813"/>
      <c r="G1813" s="120"/>
      <c r="H1813" s="120"/>
      <c r="I1813"/>
    </row>
    <row r="1814" spans="1:9" ht="12.75">
      <c r="A1814"/>
      <c r="B1814"/>
      <c r="C1814"/>
      <c r="D1814"/>
      <c r="E1814"/>
      <c r="F1814"/>
      <c r="G1814" s="120"/>
      <c r="H1814" s="120"/>
      <c r="I1814"/>
    </row>
    <row r="1815" spans="1:9" ht="12.75">
      <c r="A1815"/>
      <c r="B1815"/>
      <c r="C1815"/>
      <c r="D1815"/>
      <c r="E1815"/>
      <c r="F1815"/>
      <c r="G1815" s="120"/>
      <c r="H1815" s="120"/>
      <c r="I1815"/>
    </row>
    <row r="1816" spans="1:9" ht="12.75">
      <c r="A1816"/>
      <c r="B1816"/>
      <c r="C1816"/>
      <c r="D1816"/>
      <c r="E1816"/>
      <c r="F1816"/>
      <c r="G1816" s="120"/>
      <c r="H1816" s="120"/>
      <c r="I1816"/>
    </row>
    <row r="1817" spans="1:9" ht="12.75">
      <c r="A1817"/>
      <c r="B1817"/>
      <c r="C1817"/>
      <c r="D1817"/>
      <c r="E1817"/>
      <c r="F1817"/>
      <c r="G1817" s="120"/>
      <c r="H1817" s="120"/>
      <c r="I1817"/>
    </row>
    <row r="1818" spans="1:9" ht="12.75">
      <c r="A1818"/>
      <c r="B1818"/>
      <c r="C1818"/>
      <c r="D1818"/>
      <c r="E1818"/>
      <c r="F1818"/>
      <c r="G1818" s="120"/>
      <c r="H1818" s="120"/>
      <c r="I1818"/>
    </row>
    <row r="1819" spans="1:9" ht="12.75">
      <c r="A1819"/>
      <c r="B1819"/>
      <c r="C1819"/>
      <c r="D1819"/>
      <c r="E1819"/>
      <c r="F1819"/>
      <c r="G1819" s="120"/>
      <c r="H1819" s="120"/>
      <c r="I1819"/>
    </row>
    <row r="1820" spans="1:9" ht="12.75">
      <c r="A1820"/>
      <c r="B1820"/>
      <c r="C1820"/>
      <c r="D1820"/>
      <c r="E1820"/>
      <c r="F1820"/>
      <c r="G1820" s="120"/>
      <c r="H1820" s="120"/>
      <c r="I1820"/>
    </row>
    <row r="1821" spans="1:9" ht="12.75">
      <c r="A1821"/>
      <c r="B1821"/>
      <c r="C1821"/>
      <c r="D1821"/>
      <c r="E1821"/>
      <c r="F1821"/>
      <c r="G1821" s="120"/>
      <c r="H1821" s="120"/>
      <c r="I1821"/>
    </row>
    <row r="1822" spans="1:9" ht="12.75">
      <c r="A1822"/>
      <c r="B1822"/>
      <c r="C1822"/>
      <c r="D1822"/>
      <c r="E1822"/>
      <c r="F1822"/>
      <c r="G1822" s="120"/>
      <c r="H1822" s="120"/>
      <c r="I1822"/>
    </row>
    <row r="1823" spans="1:9" ht="12.75">
      <c r="A1823"/>
      <c r="B1823"/>
      <c r="C1823"/>
      <c r="D1823"/>
      <c r="E1823"/>
      <c r="F1823"/>
      <c r="G1823" s="120"/>
      <c r="H1823" s="120"/>
      <c r="I1823"/>
    </row>
    <row r="1824" spans="1:9" ht="12.75">
      <c r="A1824"/>
      <c r="B1824"/>
      <c r="C1824"/>
      <c r="D1824"/>
      <c r="E1824"/>
      <c r="F1824"/>
      <c r="G1824" s="120"/>
      <c r="H1824" s="120"/>
      <c r="I1824"/>
    </row>
    <row r="1825" spans="1:9" ht="12.75">
      <c r="A1825"/>
      <c r="B1825"/>
      <c r="C1825"/>
      <c r="D1825"/>
      <c r="E1825"/>
      <c r="F1825"/>
      <c r="G1825" s="120"/>
      <c r="H1825" s="120"/>
      <c r="I1825"/>
    </row>
    <row r="1826" spans="1:9" ht="12.75">
      <c r="A1826"/>
      <c r="B1826"/>
      <c r="C1826"/>
      <c r="D1826"/>
      <c r="E1826"/>
      <c r="F1826"/>
      <c r="G1826" s="120"/>
      <c r="H1826" s="120"/>
      <c r="I1826"/>
    </row>
    <row r="1827" spans="1:9" ht="12.75">
      <c r="A1827"/>
      <c r="B1827"/>
      <c r="C1827"/>
      <c r="D1827"/>
      <c r="E1827"/>
      <c r="F1827"/>
      <c r="G1827" s="120"/>
      <c r="H1827" s="120"/>
      <c r="I1827"/>
    </row>
    <row r="1828" spans="1:9" ht="12.75">
      <c r="A1828"/>
      <c r="B1828"/>
      <c r="C1828"/>
      <c r="D1828"/>
      <c r="E1828"/>
      <c r="F1828"/>
      <c r="G1828" s="120"/>
      <c r="H1828" s="120"/>
      <c r="I1828"/>
    </row>
    <row r="1829" spans="1:9" ht="12.75">
      <c r="A1829"/>
      <c r="B1829"/>
      <c r="C1829"/>
      <c r="D1829"/>
      <c r="E1829"/>
      <c r="F1829"/>
      <c r="G1829" s="120"/>
      <c r="H1829" s="120"/>
      <c r="I1829"/>
    </row>
    <row r="1830" spans="1:9" ht="12.75">
      <c r="A1830"/>
      <c r="B1830"/>
      <c r="C1830"/>
      <c r="D1830"/>
      <c r="E1830"/>
      <c r="F1830"/>
      <c r="G1830" s="120"/>
      <c r="H1830" s="120"/>
      <c r="I1830"/>
    </row>
    <row r="1831" spans="1:9" ht="12.75">
      <c r="A1831"/>
      <c r="B1831"/>
      <c r="C1831"/>
      <c r="D1831"/>
      <c r="E1831"/>
      <c r="F1831"/>
      <c r="G1831" s="120"/>
      <c r="H1831" s="120"/>
      <c r="I1831"/>
    </row>
    <row r="1832" spans="1:9" ht="12.75">
      <c r="A1832"/>
      <c r="B1832"/>
      <c r="C1832"/>
      <c r="D1832"/>
      <c r="E1832"/>
      <c r="F1832"/>
      <c r="G1832" s="120"/>
      <c r="H1832" s="120"/>
      <c r="I1832"/>
    </row>
    <row r="1833" spans="1:9" ht="12.75">
      <c r="A1833"/>
      <c r="B1833"/>
      <c r="C1833"/>
      <c r="D1833"/>
      <c r="E1833"/>
      <c r="F1833"/>
      <c r="G1833" s="120"/>
      <c r="H1833" s="120"/>
      <c r="I1833"/>
    </row>
    <row r="1834" spans="1:9" ht="12.75">
      <c r="A1834"/>
      <c r="B1834"/>
      <c r="C1834"/>
      <c r="D1834"/>
      <c r="E1834"/>
      <c r="F1834"/>
      <c r="G1834" s="120"/>
      <c r="H1834" s="120"/>
      <c r="I1834"/>
    </row>
    <row r="1835" spans="1:9" ht="12.75">
      <c r="A1835"/>
      <c r="B1835"/>
      <c r="C1835"/>
      <c r="D1835"/>
      <c r="E1835"/>
      <c r="F1835"/>
      <c r="G1835" s="120"/>
      <c r="H1835" s="120"/>
      <c r="I1835"/>
    </row>
    <row r="1836" spans="1:9" ht="12.75">
      <c r="A1836"/>
      <c r="B1836"/>
      <c r="C1836"/>
      <c r="D1836"/>
      <c r="E1836"/>
      <c r="F1836"/>
      <c r="G1836" s="120"/>
      <c r="H1836" s="120"/>
      <c r="I1836"/>
    </row>
    <row r="1837" spans="1:9" ht="12.75">
      <c r="A1837"/>
      <c r="B1837"/>
      <c r="C1837"/>
      <c r="D1837"/>
      <c r="E1837"/>
      <c r="F1837"/>
      <c r="G1837" s="120"/>
      <c r="H1837" s="120"/>
      <c r="I1837"/>
    </row>
    <row r="1838" spans="1:9" ht="12.75">
      <c r="A1838"/>
      <c r="B1838"/>
      <c r="C1838"/>
      <c r="D1838"/>
      <c r="E1838"/>
      <c r="F1838"/>
      <c r="G1838" s="120"/>
      <c r="H1838" s="120"/>
      <c r="I1838"/>
    </row>
    <row r="1839" spans="1:9" ht="12.75">
      <c r="A1839"/>
      <c r="B1839"/>
      <c r="C1839"/>
      <c r="D1839"/>
      <c r="E1839"/>
      <c r="F1839"/>
      <c r="G1839" s="120"/>
      <c r="H1839" s="120"/>
      <c r="I1839"/>
    </row>
    <row r="1840" spans="1:9" ht="12.75">
      <c r="A1840"/>
      <c r="B1840"/>
      <c r="C1840"/>
      <c r="D1840"/>
      <c r="E1840"/>
      <c r="F1840"/>
      <c r="G1840" s="120"/>
      <c r="H1840" s="120"/>
      <c r="I1840"/>
    </row>
    <row r="1841" spans="1:9" ht="12.75">
      <c r="A1841"/>
      <c r="B1841"/>
      <c r="C1841"/>
      <c r="D1841"/>
      <c r="E1841"/>
      <c r="F1841"/>
      <c r="G1841" s="120"/>
      <c r="H1841" s="120"/>
      <c r="I1841"/>
    </row>
    <row r="1842" spans="1:9" ht="12.75">
      <c r="A1842"/>
      <c r="B1842"/>
      <c r="C1842"/>
      <c r="D1842"/>
      <c r="E1842"/>
      <c r="F1842"/>
      <c r="G1842" s="120"/>
      <c r="H1842" s="120"/>
      <c r="I1842"/>
    </row>
    <row r="1843" spans="1:9" ht="12.75">
      <c r="A1843"/>
      <c r="B1843"/>
      <c r="C1843"/>
      <c r="D1843"/>
      <c r="E1843"/>
      <c r="F1843"/>
      <c r="G1843" s="120"/>
      <c r="H1843" s="120"/>
      <c r="I1843"/>
    </row>
    <row r="1844" spans="1:9" ht="12.75">
      <c r="A1844"/>
      <c r="B1844"/>
      <c r="C1844"/>
      <c r="D1844"/>
      <c r="E1844"/>
      <c r="F1844"/>
      <c r="G1844" s="120"/>
      <c r="H1844" s="120"/>
      <c r="I1844"/>
    </row>
    <row r="1845" spans="1:9" ht="12.75">
      <c r="A1845"/>
      <c r="B1845"/>
      <c r="C1845"/>
      <c r="D1845"/>
      <c r="E1845"/>
      <c r="F1845"/>
      <c r="G1845" s="120"/>
      <c r="H1845" s="120"/>
      <c r="I1845"/>
    </row>
    <row r="1846" spans="1:9" ht="12.75">
      <c r="A1846"/>
      <c r="B1846"/>
      <c r="C1846"/>
      <c r="D1846"/>
      <c r="E1846"/>
      <c r="F1846"/>
      <c r="G1846" s="120"/>
      <c r="H1846" s="120"/>
      <c r="I1846"/>
    </row>
    <row r="1847" spans="1:9" ht="12.75">
      <c r="A1847"/>
      <c r="B1847"/>
      <c r="C1847"/>
      <c r="D1847"/>
      <c r="E1847"/>
      <c r="F1847"/>
      <c r="G1847" s="120"/>
      <c r="H1847" s="120"/>
      <c r="I1847"/>
    </row>
    <row r="1848" spans="1:9" ht="12.75">
      <c r="A1848"/>
      <c r="B1848"/>
      <c r="C1848"/>
      <c r="D1848"/>
      <c r="E1848"/>
      <c r="F1848"/>
      <c r="G1848" s="120"/>
      <c r="H1848" s="120"/>
      <c r="I1848"/>
    </row>
    <row r="1849" spans="1:9" ht="12.75">
      <c r="A1849"/>
      <c r="B1849"/>
      <c r="C1849"/>
      <c r="D1849"/>
      <c r="E1849"/>
      <c r="F1849"/>
      <c r="G1849" s="120"/>
      <c r="H1849" s="120"/>
      <c r="I1849"/>
    </row>
    <row r="1850" spans="1:9" ht="12.75">
      <c r="A1850"/>
      <c r="B1850"/>
      <c r="C1850"/>
      <c r="D1850"/>
      <c r="E1850"/>
      <c r="F1850"/>
      <c r="G1850" s="120"/>
      <c r="H1850" s="120"/>
      <c r="I1850"/>
    </row>
    <row r="1851" spans="1:9" ht="12.75">
      <c r="A1851"/>
      <c r="B1851"/>
      <c r="C1851"/>
      <c r="D1851"/>
      <c r="E1851"/>
      <c r="F1851"/>
      <c r="G1851" s="120"/>
      <c r="H1851" s="120"/>
      <c r="I1851"/>
    </row>
    <row r="1852" spans="1:9" ht="12.75">
      <c r="A1852"/>
      <c r="B1852"/>
      <c r="C1852"/>
      <c r="D1852"/>
      <c r="E1852"/>
      <c r="F1852"/>
      <c r="G1852" s="120"/>
      <c r="H1852" s="120"/>
      <c r="I1852"/>
    </row>
    <row r="1853" spans="1:9" ht="12.75">
      <c r="A1853"/>
      <c r="B1853"/>
      <c r="C1853"/>
      <c r="D1853"/>
      <c r="E1853"/>
      <c r="F1853"/>
      <c r="G1853" s="120"/>
      <c r="H1853" s="120"/>
      <c r="I1853"/>
    </row>
    <row r="1854" spans="1:9" ht="12.75">
      <c r="A1854"/>
      <c r="B1854"/>
      <c r="C1854"/>
      <c r="D1854"/>
      <c r="E1854"/>
      <c r="F1854"/>
      <c r="G1854" s="120"/>
      <c r="H1854" s="120"/>
      <c r="I1854"/>
    </row>
    <row r="1855" spans="1:9" ht="12.75">
      <c r="A1855"/>
      <c r="B1855"/>
      <c r="C1855"/>
      <c r="D1855"/>
      <c r="E1855"/>
      <c r="F1855"/>
      <c r="G1855" s="120"/>
      <c r="H1855" s="120"/>
      <c r="I1855"/>
    </row>
    <row r="1856" spans="1:9" ht="12.75">
      <c r="A1856"/>
      <c r="B1856"/>
      <c r="C1856"/>
      <c r="D1856"/>
      <c r="E1856"/>
      <c r="F1856"/>
      <c r="G1856" s="120"/>
      <c r="H1856" s="120"/>
      <c r="I1856"/>
    </row>
    <row r="1857" spans="1:9" ht="12.75">
      <c r="A1857"/>
      <c r="B1857"/>
      <c r="C1857"/>
      <c r="D1857"/>
      <c r="E1857"/>
      <c r="F1857"/>
      <c r="G1857" s="120"/>
      <c r="H1857" s="120"/>
      <c r="I1857"/>
    </row>
    <row r="1858" spans="1:9" ht="12.75">
      <c r="A1858"/>
      <c r="B1858"/>
      <c r="C1858"/>
      <c r="D1858"/>
      <c r="E1858"/>
      <c r="F1858"/>
      <c r="G1858" s="120"/>
      <c r="H1858" s="120"/>
      <c r="I1858"/>
    </row>
    <row r="1859" spans="1:9" ht="12.75">
      <c r="A1859"/>
      <c r="B1859"/>
      <c r="C1859"/>
      <c r="D1859"/>
      <c r="E1859"/>
      <c r="F1859"/>
      <c r="G1859" s="120"/>
      <c r="H1859" s="120"/>
      <c r="I1859"/>
    </row>
    <row r="1860" spans="1:9" ht="12.75">
      <c r="A1860"/>
      <c r="B1860"/>
      <c r="C1860"/>
      <c r="D1860"/>
      <c r="E1860"/>
      <c r="F1860"/>
      <c r="G1860" s="120"/>
      <c r="H1860" s="120"/>
      <c r="I1860"/>
    </row>
    <row r="1861" spans="1:9" ht="12.75">
      <c r="A1861"/>
      <c r="B1861"/>
      <c r="C1861"/>
      <c r="D1861"/>
      <c r="E1861"/>
      <c r="F1861"/>
      <c r="G1861" s="120"/>
      <c r="H1861" s="120"/>
      <c r="I1861"/>
    </row>
    <row r="1862" spans="1:9" ht="12.75">
      <c r="A1862"/>
      <c r="B1862"/>
      <c r="C1862"/>
      <c r="D1862"/>
      <c r="E1862"/>
      <c r="F1862"/>
      <c r="G1862" s="120"/>
      <c r="H1862" s="120"/>
      <c r="I1862"/>
    </row>
    <row r="1863" spans="1:9" ht="12.75">
      <c r="A1863"/>
      <c r="B1863"/>
      <c r="C1863"/>
      <c r="D1863"/>
      <c r="E1863"/>
      <c r="F1863"/>
      <c r="G1863" s="120"/>
      <c r="H1863" s="120"/>
      <c r="I1863"/>
    </row>
    <row r="1864" spans="1:9" ht="12.75">
      <c r="A1864"/>
      <c r="B1864"/>
      <c r="C1864"/>
      <c r="D1864"/>
      <c r="E1864"/>
      <c r="F1864"/>
      <c r="G1864" s="120"/>
      <c r="H1864" s="120"/>
      <c r="I1864"/>
    </row>
    <row r="1865" spans="1:9" ht="12.75">
      <c r="A1865"/>
      <c r="B1865"/>
      <c r="C1865"/>
      <c r="D1865"/>
      <c r="E1865"/>
      <c r="F1865"/>
      <c r="G1865" s="120"/>
      <c r="H1865" s="120"/>
      <c r="I1865"/>
    </row>
    <row r="1866" spans="1:9" ht="12.75">
      <c r="A1866"/>
      <c r="B1866"/>
      <c r="C1866"/>
      <c r="D1866"/>
      <c r="E1866"/>
      <c r="F1866"/>
      <c r="G1866" s="120"/>
      <c r="H1866" s="120"/>
      <c r="I1866"/>
    </row>
    <row r="1867" spans="1:9" ht="12.75">
      <c r="A1867"/>
      <c r="B1867"/>
      <c r="C1867"/>
      <c r="D1867"/>
      <c r="E1867"/>
      <c r="F1867"/>
      <c r="G1867" s="120"/>
      <c r="H1867" s="120"/>
      <c r="I1867"/>
    </row>
    <row r="1868" spans="1:9" ht="12.75">
      <c r="A1868"/>
      <c r="B1868"/>
      <c r="C1868"/>
      <c r="D1868"/>
      <c r="E1868"/>
      <c r="F1868"/>
      <c r="G1868" s="120"/>
      <c r="H1868" s="120"/>
      <c r="I1868"/>
    </row>
    <row r="1869" spans="1:9" ht="12.75">
      <c r="A1869"/>
      <c r="B1869"/>
      <c r="C1869"/>
      <c r="D1869"/>
      <c r="E1869"/>
      <c r="F1869"/>
      <c r="G1869" s="120"/>
      <c r="H1869" s="120"/>
      <c r="I1869"/>
    </row>
    <row r="1870" spans="1:9" ht="12.75">
      <c r="A1870"/>
      <c r="B1870"/>
      <c r="C1870"/>
      <c r="D1870"/>
      <c r="E1870"/>
      <c r="F1870"/>
      <c r="G1870" s="120"/>
      <c r="H1870" s="120"/>
      <c r="I1870"/>
    </row>
    <row r="1871" spans="1:9" ht="12.75">
      <c r="A1871"/>
      <c r="B1871"/>
      <c r="C1871"/>
      <c r="D1871"/>
      <c r="E1871"/>
      <c r="F1871"/>
      <c r="G1871" s="120"/>
      <c r="H1871" s="120"/>
      <c r="I1871"/>
    </row>
    <row r="1872" spans="1:9" ht="12.75">
      <c r="A1872"/>
      <c r="B1872"/>
      <c r="C1872"/>
      <c r="D1872"/>
      <c r="E1872"/>
      <c r="F1872"/>
      <c r="G1872" s="120"/>
      <c r="H1872" s="120"/>
      <c r="I1872"/>
    </row>
    <row r="1873" spans="1:9" ht="12.75">
      <c r="A1873"/>
      <c r="B1873"/>
      <c r="C1873"/>
      <c r="D1873"/>
      <c r="E1873"/>
      <c r="F1873"/>
      <c r="G1873" s="120"/>
      <c r="H1873" s="120"/>
      <c r="I1873"/>
    </row>
    <row r="1874" spans="1:9" ht="12.75">
      <c r="A1874"/>
      <c r="B1874"/>
      <c r="C1874"/>
      <c r="D1874"/>
      <c r="E1874"/>
      <c r="F1874"/>
      <c r="G1874" s="120"/>
      <c r="H1874" s="120"/>
      <c r="I1874"/>
    </row>
    <row r="1875" spans="1:9" ht="12.75">
      <c r="A1875"/>
      <c r="B1875"/>
      <c r="C1875"/>
      <c r="D1875"/>
      <c r="E1875"/>
      <c r="F1875"/>
      <c r="G1875" s="120"/>
      <c r="H1875" s="120"/>
      <c r="I1875"/>
    </row>
    <row r="1876" spans="1:9" ht="12.75">
      <c r="A1876"/>
      <c r="B1876"/>
      <c r="C1876"/>
      <c r="D1876"/>
      <c r="E1876"/>
      <c r="F1876"/>
      <c r="G1876" s="120"/>
      <c r="H1876" s="120"/>
      <c r="I1876"/>
    </row>
    <row r="1877" spans="1:9" ht="12.75">
      <c r="A1877"/>
      <c r="B1877"/>
      <c r="C1877"/>
      <c r="D1877"/>
      <c r="E1877"/>
      <c r="F1877"/>
      <c r="G1877" s="120"/>
      <c r="H1877" s="120"/>
      <c r="I1877"/>
    </row>
    <row r="1878" spans="1:9" ht="12.75">
      <c r="A1878"/>
      <c r="B1878"/>
      <c r="C1878"/>
      <c r="D1878"/>
      <c r="E1878"/>
      <c r="F1878"/>
      <c r="G1878" s="120"/>
      <c r="H1878" s="120"/>
      <c r="I1878"/>
    </row>
    <row r="1879" spans="1:9" ht="12.75">
      <c r="A1879"/>
      <c r="B1879"/>
      <c r="C1879"/>
      <c r="D1879"/>
      <c r="E1879"/>
      <c r="F1879"/>
      <c r="G1879" s="120"/>
      <c r="H1879" s="120"/>
      <c r="I1879"/>
    </row>
    <row r="1880" spans="1:9" ht="12.75">
      <c r="A1880"/>
      <c r="B1880"/>
      <c r="C1880"/>
      <c r="D1880"/>
      <c r="E1880"/>
      <c r="F1880"/>
      <c r="G1880" s="120"/>
      <c r="H1880" s="120"/>
      <c r="I1880"/>
    </row>
    <row r="1881" spans="1:9" ht="12.75">
      <c r="A1881"/>
      <c r="B1881"/>
      <c r="C1881"/>
      <c r="D1881"/>
      <c r="E1881"/>
      <c r="F1881"/>
      <c r="G1881" s="120"/>
      <c r="H1881" s="120"/>
      <c r="I1881"/>
    </row>
    <row r="1882" spans="1:9" ht="12.75">
      <c r="A1882"/>
      <c r="B1882"/>
      <c r="C1882"/>
      <c r="D1882"/>
      <c r="E1882"/>
      <c r="F1882"/>
      <c r="G1882" s="120"/>
      <c r="H1882" s="120"/>
      <c r="I1882"/>
    </row>
    <row r="1883" spans="1:9" ht="12.75">
      <c r="A1883"/>
      <c r="B1883"/>
      <c r="C1883"/>
      <c r="D1883"/>
      <c r="E1883"/>
      <c r="F1883"/>
      <c r="G1883" s="120"/>
      <c r="H1883" s="120"/>
      <c r="I1883"/>
    </row>
    <row r="1884" spans="1:9" ht="12.75">
      <c r="A1884"/>
      <c r="B1884"/>
      <c r="C1884"/>
      <c r="D1884"/>
      <c r="E1884"/>
      <c r="F1884"/>
      <c r="G1884" s="120"/>
      <c r="H1884" s="120"/>
      <c r="I1884"/>
    </row>
    <row r="1885" spans="1:9" ht="12.75">
      <c r="A1885"/>
      <c r="B1885"/>
      <c r="C1885"/>
      <c r="D1885"/>
      <c r="E1885"/>
      <c r="F1885"/>
      <c r="G1885" s="120"/>
      <c r="H1885" s="120"/>
      <c r="I1885"/>
    </row>
    <row r="1886" spans="1:9" ht="12.75">
      <c r="A1886"/>
      <c r="B1886"/>
      <c r="C1886"/>
      <c r="D1886"/>
      <c r="E1886"/>
      <c r="F1886"/>
      <c r="G1886" s="120"/>
      <c r="H1886" s="120"/>
      <c r="I1886"/>
    </row>
    <row r="1887" spans="1:9" ht="12.75">
      <c r="A1887"/>
      <c r="B1887"/>
      <c r="C1887"/>
      <c r="D1887"/>
      <c r="E1887"/>
      <c r="F1887"/>
      <c r="G1887" s="120"/>
      <c r="H1887" s="120"/>
      <c r="I1887"/>
    </row>
    <row r="1888" spans="1:9" ht="12.75">
      <c r="A1888"/>
      <c r="B1888"/>
      <c r="C1888"/>
      <c r="D1888"/>
      <c r="E1888"/>
      <c r="F1888"/>
      <c r="G1888" s="120"/>
      <c r="H1888" s="120"/>
      <c r="I1888"/>
    </row>
    <row r="1889" spans="1:9" ht="12.75">
      <c r="A1889"/>
      <c r="B1889"/>
      <c r="C1889"/>
      <c r="D1889"/>
      <c r="E1889"/>
      <c r="F1889"/>
      <c r="G1889" s="120"/>
      <c r="H1889" s="120"/>
      <c r="I1889"/>
    </row>
    <row r="1890" spans="1:9" ht="12.75">
      <c r="A1890"/>
      <c r="B1890"/>
      <c r="C1890"/>
      <c r="D1890"/>
      <c r="E1890"/>
      <c r="F1890"/>
      <c r="G1890" s="120"/>
      <c r="H1890" s="120"/>
      <c r="I1890"/>
    </row>
    <row r="1891" spans="1:9" ht="12.75">
      <c r="A1891"/>
      <c r="B1891"/>
      <c r="C1891"/>
      <c r="D1891"/>
      <c r="E1891"/>
      <c r="F1891"/>
      <c r="G1891" s="120"/>
      <c r="H1891" s="120"/>
      <c r="I1891"/>
    </row>
    <row r="1892" spans="1:9" ht="12.75">
      <c r="A1892"/>
      <c r="B1892"/>
      <c r="C1892"/>
      <c r="D1892"/>
      <c r="E1892"/>
      <c r="F1892"/>
      <c r="G1892" s="120"/>
      <c r="H1892" s="120"/>
      <c r="I1892"/>
    </row>
    <row r="1893" spans="1:9" ht="12.75">
      <c r="A1893"/>
      <c r="B1893"/>
      <c r="C1893"/>
      <c r="D1893"/>
      <c r="E1893"/>
      <c r="F1893"/>
      <c r="G1893" s="120"/>
      <c r="H1893" s="120"/>
      <c r="I1893"/>
    </row>
    <row r="1894" spans="1:9" ht="12.75">
      <c r="A1894"/>
      <c r="B1894"/>
      <c r="C1894"/>
      <c r="D1894"/>
      <c r="E1894"/>
      <c r="F1894"/>
      <c r="G1894" s="120"/>
      <c r="H1894" s="120"/>
      <c r="I1894"/>
    </row>
    <row r="1895" spans="1:9" ht="12.75">
      <c r="A1895"/>
      <c r="B1895"/>
      <c r="C1895"/>
      <c r="D1895"/>
      <c r="E1895"/>
      <c r="F1895"/>
      <c r="G1895" s="120"/>
      <c r="H1895" s="120"/>
      <c r="I1895"/>
    </row>
    <row r="1896" spans="1:9" ht="12.75">
      <c r="A1896"/>
      <c r="B1896"/>
      <c r="C1896"/>
      <c r="D1896"/>
      <c r="E1896"/>
      <c r="F1896"/>
      <c r="G1896" s="120"/>
      <c r="H1896" s="120"/>
      <c r="I1896"/>
    </row>
    <row r="1897" spans="1:9" ht="12.75">
      <c r="A1897"/>
      <c r="B1897"/>
      <c r="C1897"/>
      <c r="D1897"/>
      <c r="E1897"/>
      <c r="F1897"/>
      <c r="G1897" s="120"/>
      <c r="H1897" s="120"/>
      <c r="I1897"/>
    </row>
    <row r="1898" spans="1:9" ht="12.75">
      <c r="A1898"/>
      <c r="B1898"/>
      <c r="C1898"/>
      <c r="D1898"/>
      <c r="E1898"/>
      <c r="F1898"/>
      <c r="G1898" s="120"/>
      <c r="H1898" s="120"/>
      <c r="I1898"/>
    </row>
    <row r="1899" spans="1:9" ht="12.75">
      <c r="A1899"/>
      <c r="B1899"/>
      <c r="C1899"/>
      <c r="D1899"/>
      <c r="E1899"/>
      <c r="F1899"/>
      <c r="G1899" s="120"/>
      <c r="H1899" s="120"/>
      <c r="I1899"/>
    </row>
    <row r="1900" spans="1:9" ht="12.75">
      <c r="A1900"/>
      <c r="B1900"/>
      <c r="C1900"/>
      <c r="D1900"/>
      <c r="E1900"/>
      <c r="F1900"/>
      <c r="G1900" s="120"/>
      <c r="H1900" s="120"/>
      <c r="I1900"/>
    </row>
    <row r="1901" spans="1:9" ht="12.75">
      <c r="A1901"/>
      <c r="B1901"/>
      <c r="C1901"/>
      <c r="D1901"/>
      <c r="E1901"/>
      <c r="F1901"/>
      <c r="G1901" s="120"/>
      <c r="H1901" s="120"/>
      <c r="I1901"/>
    </row>
    <row r="1902" spans="1:9" ht="12.75">
      <c r="A1902"/>
      <c r="B1902"/>
      <c r="C1902"/>
      <c r="D1902"/>
      <c r="E1902"/>
      <c r="F1902"/>
      <c r="G1902" s="120"/>
      <c r="H1902" s="120"/>
      <c r="I1902"/>
    </row>
    <row r="1903" spans="1:9" ht="12.75">
      <c r="A1903"/>
      <c r="B1903"/>
      <c r="C1903"/>
      <c r="D1903"/>
      <c r="E1903"/>
      <c r="F1903"/>
      <c r="G1903" s="120"/>
      <c r="H1903" s="120"/>
      <c r="I1903"/>
    </row>
    <row r="1904" spans="1:9" ht="12.75">
      <c r="A1904"/>
      <c r="B1904"/>
      <c r="C1904"/>
      <c r="D1904"/>
      <c r="E1904"/>
      <c r="F1904"/>
      <c r="G1904" s="120"/>
      <c r="H1904" s="120"/>
      <c r="I1904"/>
    </row>
    <row r="1905" spans="1:9" ht="12.75">
      <c r="A1905"/>
      <c r="B1905"/>
      <c r="C1905"/>
      <c r="D1905"/>
      <c r="E1905"/>
      <c r="F1905"/>
      <c r="G1905" s="120"/>
      <c r="H1905" s="120"/>
      <c r="I1905"/>
    </row>
    <row r="1906" spans="1:9" ht="12.75">
      <c r="A1906"/>
      <c r="B1906"/>
      <c r="C1906"/>
      <c r="D1906"/>
      <c r="E1906"/>
      <c r="F1906"/>
      <c r="G1906" s="120"/>
      <c r="H1906" s="120"/>
      <c r="I1906"/>
    </row>
    <row r="1907" spans="1:9" ht="12.75">
      <c r="A1907"/>
      <c r="B1907"/>
      <c r="C1907"/>
      <c r="D1907"/>
      <c r="E1907"/>
      <c r="F1907"/>
      <c r="G1907" s="120"/>
      <c r="H1907" s="120"/>
      <c r="I1907"/>
    </row>
    <row r="1908" spans="1:9" ht="12.75">
      <c r="A1908"/>
      <c r="B1908"/>
      <c r="C1908"/>
      <c r="D1908"/>
      <c r="E1908"/>
      <c r="F1908"/>
      <c r="G1908" s="120"/>
      <c r="H1908" s="120"/>
      <c r="I1908"/>
    </row>
    <row r="1909" spans="1:9" ht="12.75">
      <c r="A1909"/>
      <c r="B1909"/>
      <c r="C1909"/>
      <c r="D1909"/>
      <c r="E1909"/>
      <c r="F1909"/>
      <c r="G1909" s="120"/>
      <c r="H1909" s="120"/>
      <c r="I1909"/>
    </row>
    <row r="1910" spans="1:9" ht="12.75">
      <c r="A1910"/>
      <c r="B1910"/>
      <c r="C1910"/>
      <c r="D1910"/>
      <c r="E1910"/>
      <c r="F1910"/>
      <c r="G1910" s="120"/>
      <c r="H1910" s="120"/>
      <c r="I1910"/>
    </row>
    <row r="1911" spans="1:9" ht="12.75">
      <c r="A1911"/>
      <c r="B1911"/>
      <c r="C1911"/>
      <c r="D1911"/>
      <c r="E1911"/>
      <c r="F1911"/>
      <c r="G1911" s="120"/>
      <c r="H1911" s="120"/>
      <c r="I1911"/>
    </row>
    <row r="1912" spans="1:9" ht="12.75">
      <c r="A1912"/>
      <c r="B1912"/>
      <c r="C1912"/>
      <c r="D1912"/>
      <c r="E1912"/>
      <c r="F1912"/>
      <c r="G1912" s="120"/>
      <c r="H1912" s="120"/>
      <c r="I1912"/>
    </row>
    <row r="1913" spans="1:9" ht="12.75">
      <c r="A1913"/>
      <c r="B1913"/>
      <c r="C1913"/>
      <c r="D1913"/>
      <c r="E1913"/>
      <c r="F1913"/>
      <c r="G1913" s="120"/>
      <c r="H1913" s="120"/>
      <c r="I1913"/>
    </row>
    <row r="1914" spans="1:9" ht="12.75">
      <c r="A1914"/>
      <c r="B1914"/>
      <c r="C1914"/>
      <c r="D1914"/>
      <c r="E1914"/>
      <c r="F1914"/>
      <c r="G1914" s="120"/>
      <c r="H1914" s="120"/>
      <c r="I1914"/>
    </row>
    <row r="1915" spans="1:9" ht="12.75">
      <c r="A1915"/>
      <c r="B1915"/>
      <c r="C1915"/>
      <c r="D1915"/>
      <c r="E1915"/>
      <c r="F1915"/>
      <c r="G1915" s="120"/>
      <c r="H1915" s="120"/>
      <c r="I1915"/>
    </row>
    <row r="1916" spans="1:9" ht="12.75">
      <c r="A1916"/>
      <c r="B1916"/>
      <c r="C1916"/>
      <c r="D1916"/>
      <c r="E1916"/>
      <c r="F1916"/>
      <c r="G1916" s="120"/>
      <c r="H1916" s="120"/>
      <c r="I1916"/>
    </row>
    <row r="1917" spans="1:9" ht="12.75">
      <c r="A1917"/>
      <c r="B1917"/>
      <c r="C1917"/>
      <c r="D1917"/>
      <c r="E1917"/>
      <c r="F1917"/>
      <c r="G1917" s="120"/>
      <c r="H1917" s="120"/>
      <c r="I1917"/>
    </row>
    <row r="1918" spans="1:9" ht="12.75">
      <c r="A1918"/>
      <c r="B1918"/>
      <c r="C1918"/>
      <c r="D1918"/>
      <c r="E1918"/>
      <c r="F1918"/>
      <c r="G1918" s="120"/>
      <c r="H1918" s="120"/>
      <c r="I1918"/>
    </row>
    <row r="1919" spans="1:9" ht="12.75">
      <c r="A1919"/>
      <c r="B1919"/>
      <c r="C1919"/>
      <c r="D1919"/>
      <c r="E1919"/>
      <c r="F1919"/>
      <c r="G1919" s="120"/>
      <c r="H1919" s="120"/>
      <c r="I1919"/>
    </row>
    <row r="1920" spans="1:9" ht="12.75">
      <c r="A1920"/>
      <c r="B1920"/>
      <c r="C1920"/>
      <c r="D1920"/>
      <c r="E1920"/>
      <c r="F1920"/>
      <c r="G1920" s="120"/>
      <c r="H1920" s="120"/>
      <c r="I1920"/>
    </row>
    <row r="1921" spans="1:9" ht="12.75">
      <c r="A1921"/>
      <c r="B1921"/>
      <c r="C1921"/>
      <c r="D1921"/>
      <c r="E1921"/>
      <c r="F1921"/>
      <c r="G1921" s="120"/>
      <c r="H1921" s="120"/>
      <c r="I1921"/>
    </row>
    <row r="1922" spans="1:9" ht="12.75">
      <c r="A1922"/>
      <c r="B1922"/>
      <c r="C1922"/>
      <c r="D1922"/>
      <c r="E1922"/>
      <c r="F1922"/>
      <c r="G1922" s="120"/>
      <c r="H1922" s="120"/>
      <c r="I1922"/>
    </row>
    <row r="1923" spans="1:9" ht="12.75">
      <c r="A1923"/>
      <c r="B1923"/>
      <c r="C1923"/>
      <c r="D1923"/>
      <c r="E1923"/>
      <c r="F1923"/>
      <c r="G1923" s="120"/>
      <c r="H1923" s="120"/>
      <c r="I1923"/>
    </row>
    <row r="1924" spans="1:9" ht="12.75">
      <c r="A1924"/>
      <c r="B1924"/>
      <c r="C1924"/>
      <c r="D1924"/>
      <c r="E1924"/>
      <c r="F1924"/>
      <c r="G1924" s="120"/>
      <c r="H1924" s="120"/>
      <c r="I1924"/>
    </row>
    <row r="1925" spans="1:9" ht="12.75">
      <c r="A1925"/>
      <c r="B1925"/>
      <c r="C1925"/>
      <c r="D1925"/>
      <c r="E1925"/>
      <c r="F1925"/>
      <c r="G1925" s="120"/>
      <c r="H1925" s="120"/>
      <c r="I1925"/>
    </row>
    <row r="1926" spans="1:9" ht="12.75">
      <c r="A1926"/>
      <c r="B1926"/>
      <c r="C1926"/>
      <c r="D1926"/>
      <c r="E1926"/>
      <c r="F1926"/>
      <c r="G1926" s="120"/>
      <c r="H1926" s="120"/>
      <c r="I1926"/>
    </row>
    <row r="1927" spans="1:9" ht="12.75">
      <c r="A1927"/>
      <c r="B1927"/>
      <c r="C1927"/>
      <c r="D1927"/>
      <c r="E1927"/>
      <c r="F1927"/>
      <c r="G1927" s="120"/>
      <c r="H1927" s="120"/>
      <c r="I1927"/>
    </row>
    <row r="1928" spans="1:9" ht="12.75">
      <c r="A1928"/>
      <c r="B1928"/>
      <c r="C1928"/>
      <c r="D1928"/>
      <c r="E1928"/>
      <c r="F1928"/>
      <c r="G1928" s="120"/>
      <c r="H1928" s="120"/>
      <c r="I1928"/>
    </row>
    <row r="1929" spans="1:9" ht="12.75">
      <c r="A1929"/>
      <c r="B1929"/>
      <c r="C1929"/>
      <c r="D1929"/>
      <c r="E1929"/>
      <c r="F1929"/>
      <c r="G1929" s="120"/>
      <c r="H1929" s="120"/>
      <c r="I1929"/>
    </row>
    <row r="1930" spans="1:9" ht="12.75">
      <c r="A1930"/>
      <c r="B1930"/>
      <c r="C1930"/>
      <c r="D1930"/>
      <c r="E1930"/>
      <c r="F1930"/>
      <c r="G1930" s="120"/>
      <c r="H1930" s="120"/>
      <c r="I1930"/>
    </row>
    <row r="1931" spans="1:9" ht="12.75">
      <c r="A1931"/>
      <c r="B1931"/>
      <c r="C1931"/>
      <c r="D1931"/>
      <c r="E1931"/>
      <c r="F1931"/>
      <c r="G1931" s="120"/>
      <c r="H1931" s="120"/>
      <c r="I1931"/>
    </row>
    <row r="1932" spans="1:9" ht="12.75">
      <c r="A1932"/>
      <c r="B1932"/>
      <c r="C1932"/>
      <c r="D1932"/>
      <c r="E1932"/>
      <c r="F1932"/>
      <c r="G1932" s="120"/>
      <c r="H1932" s="120"/>
      <c r="I1932"/>
    </row>
    <row r="1933" spans="1:9" ht="12.75">
      <c r="A1933"/>
      <c r="B1933"/>
      <c r="C1933"/>
      <c r="D1933"/>
      <c r="E1933"/>
      <c r="F1933"/>
      <c r="G1933" s="120"/>
      <c r="H1933" s="120"/>
      <c r="I1933"/>
    </row>
    <row r="1934" spans="1:9" ht="12.75">
      <c r="A1934"/>
      <c r="B1934"/>
      <c r="C1934"/>
      <c r="D1934"/>
      <c r="E1934"/>
      <c r="F1934"/>
      <c r="G1934" s="120"/>
      <c r="H1934" s="120"/>
      <c r="I1934"/>
    </row>
    <row r="1935" spans="1:9" ht="12.75">
      <c r="A1935"/>
      <c r="B1935"/>
      <c r="C1935"/>
      <c r="D1935"/>
      <c r="E1935"/>
      <c r="F1935"/>
      <c r="G1935" s="120"/>
      <c r="H1935" s="120"/>
      <c r="I1935"/>
    </row>
    <row r="1936" spans="1:9" ht="12.75">
      <c r="A1936"/>
      <c r="B1936"/>
      <c r="C1936"/>
      <c r="D1936"/>
      <c r="E1936"/>
      <c r="F1936"/>
      <c r="G1936" s="120"/>
      <c r="H1936" s="120"/>
      <c r="I1936"/>
    </row>
    <row r="1937" spans="1:9" ht="12.75">
      <c r="A1937"/>
      <c r="B1937"/>
      <c r="C1937"/>
      <c r="D1937"/>
      <c r="E1937"/>
      <c r="F1937"/>
      <c r="G1937" s="120"/>
      <c r="H1937" s="120"/>
      <c r="I1937"/>
    </row>
    <row r="1938" spans="1:9" ht="12.75">
      <c r="A1938"/>
      <c r="B1938"/>
      <c r="C1938"/>
      <c r="D1938"/>
      <c r="E1938"/>
      <c r="F1938"/>
      <c r="G1938" s="120"/>
      <c r="H1938" s="120"/>
      <c r="I1938"/>
    </row>
    <row r="1939" spans="1:9" ht="12.75">
      <c r="A1939"/>
      <c r="B1939"/>
      <c r="C1939"/>
      <c r="D1939"/>
      <c r="E1939"/>
      <c r="F1939"/>
      <c r="G1939" s="120"/>
      <c r="H1939" s="120"/>
      <c r="I1939"/>
    </row>
    <row r="1940" spans="1:9" ht="12.75">
      <c r="A1940"/>
      <c r="B1940"/>
      <c r="C1940"/>
      <c r="D1940"/>
      <c r="E1940"/>
      <c r="F1940"/>
      <c r="G1940" s="120"/>
      <c r="H1940" s="120"/>
      <c r="I1940"/>
    </row>
    <row r="1941" spans="1:9" ht="12.75">
      <c r="A1941"/>
      <c r="B1941"/>
      <c r="C1941"/>
      <c r="D1941"/>
      <c r="E1941"/>
      <c r="F1941"/>
      <c r="G1941" s="120"/>
      <c r="H1941" s="120"/>
      <c r="I1941"/>
    </row>
    <row r="1942" spans="1:9" ht="12.75">
      <c r="A1942"/>
      <c r="B1942"/>
      <c r="C1942"/>
      <c r="D1942"/>
      <c r="E1942"/>
      <c r="F1942"/>
      <c r="G1942" s="120"/>
      <c r="H1942" s="120"/>
      <c r="I1942"/>
    </row>
    <row r="1943" spans="1:9" ht="12.75">
      <c r="A1943"/>
      <c r="B1943"/>
      <c r="C1943"/>
      <c r="D1943"/>
      <c r="E1943"/>
      <c r="F1943"/>
      <c r="G1943" s="120"/>
      <c r="H1943" s="120"/>
      <c r="I1943"/>
    </row>
    <row r="1944" spans="1:9" ht="12.75">
      <c r="A1944"/>
      <c r="B1944"/>
      <c r="C1944"/>
      <c r="D1944"/>
      <c r="E1944"/>
      <c r="F1944"/>
      <c r="G1944" s="120"/>
      <c r="H1944" s="120"/>
      <c r="I1944"/>
    </row>
    <row r="1945" spans="1:9" ht="12.75">
      <c r="A1945"/>
      <c r="B1945"/>
      <c r="C1945"/>
      <c r="D1945"/>
      <c r="E1945"/>
      <c r="F1945"/>
      <c r="G1945" s="120"/>
      <c r="H1945" s="120"/>
      <c r="I1945"/>
    </row>
    <row r="1946" spans="1:9" ht="12.75">
      <c r="A1946"/>
      <c r="B1946"/>
      <c r="C1946"/>
      <c r="D1946"/>
      <c r="E1946"/>
      <c r="F1946"/>
      <c r="G1946" s="120"/>
      <c r="H1946" s="120"/>
      <c r="I1946"/>
    </row>
    <row r="1947" spans="1:9" ht="12.75">
      <c r="A1947"/>
      <c r="B1947"/>
      <c r="C1947"/>
      <c r="D1947"/>
      <c r="E1947"/>
      <c r="F1947"/>
      <c r="G1947" s="120"/>
      <c r="H1947" s="120"/>
      <c r="I1947"/>
    </row>
    <row r="1948" spans="1:9" ht="12.75">
      <c r="A1948"/>
      <c r="B1948"/>
      <c r="C1948"/>
      <c r="D1948"/>
      <c r="E1948"/>
      <c r="F1948"/>
      <c r="G1948" s="120"/>
      <c r="H1948" s="120"/>
      <c r="I1948"/>
    </row>
    <row r="1949" spans="1:9" ht="12.75">
      <c r="A1949"/>
      <c r="B1949"/>
      <c r="C1949"/>
      <c r="D1949"/>
      <c r="E1949"/>
      <c r="F1949"/>
      <c r="G1949" s="120"/>
      <c r="H1949" s="120"/>
      <c r="I1949"/>
    </row>
    <row r="1950" spans="1:9" ht="12.75">
      <c r="A1950"/>
      <c r="B1950"/>
      <c r="C1950"/>
      <c r="D1950"/>
      <c r="E1950"/>
      <c r="F1950"/>
      <c r="G1950" s="120"/>
      <c r="H1950" s="120"/>
      <c r="I1950"/>
    </row>
    <row r="1951" spans="1:9" ht="12.75">
      <c r="A1951"/>
      <c r="B1951"/>
      <c r="C1951"/>
      <c r="D1951"/>
      <c r="E1951"/>
      <c r="F1951"/>
      <c r="G1951" s="120"/>
      <c r="H1951" s="120"/>
      <c r="I1951"/>
    </row>
    <row r="1952" spans="1:9" ht="12.75">
      <c r="A1952"/>
      <c r="B1952"/>
      <c r="C1952"/>
      <c r="D1952"/>
      <c r="E1952"/>
      <c r="F1952"/>
      <c r="G1952" s="120"/>
      <c r="H1952" s="120"/>
      <c r="I1952"/>
    </row>
    <row r="1953" spans="1:9" ht="12.75">
      <c r="A1953"/>
      <c r="B1953"/>
      <c r="C1953"/>
      <c r="D1953"/>
      <c r="E1953"/>
      <c r="F1953"/>
      <c r="G1953" s="120"/>
      <c r="H1953" s="120"/>
      <c r="I1953"/>
    </row>
    <row r="1954" spans="1:9" ht="12.75">
      <c r="A1954"/>
      <c r="B1954"/>
      <c r="C1954"/>
      <c r="D1954"/>
      <c r="E1954"/>
      <c r="F1954"/>
      <c r="G1954" s="120"/>
      <c r="H1954" s="120"/>
      <c r="I1954"/>
    </row>
    <row r="1955" spans="1:9" ht="12.75">
      <c r="A1955"/>
      <c r="B1955"/>
      <c r="C1955"/>
      <c r="D1955"/>
      <c r="E1955"/>
      <c r="F1955"/>
      <c r="G1955" s="120"/>
      <c r="H1955" s="120"/>
      <c r="I1955"/>
    </row>
    <row r="1956" spans="1:9" ht="12.75">
      <c r="A1956"/>
      <c r="B1956"/>
      <c r="C1956"/>
      <c r="D1956"/>
      <c r="E1956"/>
      <c r="F1956"/>
      <c r="G1956" s="120"/>
      <c r="H1956" s="120"/>
      <c r="I1956"/>
    </row>
    <row r="1957" spans="1:9" ht="12.75">
      <c r="A1957"/>
      <c r="B1957"/>
      <c r="C1957"/>
      <c r="D1957"/>
      <c r="E1957"/>
      <c r="F1957"/>
      <c r="G1957" s="120"/>
      <c r="H1957" s="120"/>
      <c r="I1957"/>
    </row>
    <row r="1958" spans="1:9" ht="12.75">
      <c r="A1958"/>
      <c r="B1958"/>
      <c r="C1958"/>
      <c r="D1958"/>
      <c r="E1958"/>
      <c r="F1958"/>
      <c r="G1958" s="120"/>
      <c r="H1958" s="120"/>
      <c r="I1958"/>
    </row>
    <row r="1959" spans="1:9" ht="12.75">
      <c r="A1959"/>
      <c r="B1959"/>
      <c r="C1959"/>
      <c r="D1959"/>
      <c r="E1959"/>
      <c r="F1959"/>
      <c r="G1959" s="120"/>
      <c r="H1959" s="120"/>
      <c r="I1959"/>
    </row>
    <row r="1960" spans="1:9" ht="12.75">
      <c r="A1960"/>
      <c r="B1960"/>
      <c r="C1960"/>
      <c r="D1960"/>
      <c r="E1960"/>
      <c r="F1960"/>
      <c r="G1960" s="120"/>
      <c r="H1960" s="120"/>
      <c r="I1960"/>
    </row>
    <row r="1961" spans="1:9" ht="12.75">
      <c r="A1961"/>
      <c r="B1961"/>
      <c r="C1961"/>
      <c r="D1961"/>
      <c r="E1961"/>
      <c r="F1961"/>
      <c r="G1961" s="120"/>
      <c r="H1961" s="120"/>
      <c r="I1961"/>
    </row>
    <row r="1962" spans="1:9" ht="12.75">
      <c r="A1962"/>
      <c r="B1962"/>
      <c r="C1962"/>
      <c r="D1962"/>
      <c r="E1962"/>
      <c r="F1962"/>
      <c r="G1962" s="120"/>
      <c r="H1962" s="120"/>
      <c r="I1962"/>
    </row>
    <row r="1963" spans="1:9" ht="12.75">
      <c r="A1963"/>
      <c r="B1963"/>
      <c r="C1963"/>
      <c r="D1963"/>
      <c r="E1963"/>
      <c r="F1963"/>
      <c r="G1963" s="120"/>
      <c r="H1963" s="120"/>
      <c r="I1963"/>
    </row>
    <row r="1964" spans="1:9" ht="12.75">
      <c r="A1964"/>
      <c r="B1964"/>
      <c r="C1964"/>
      <c r="D1964"/>
      <c r="E1964"/>
      <c r="F1964"/>
      <c r="G1964" s="120"/>
      <c r="H1964" s="120"/>
      <c r="I1964"/>
    </row>
    <row r="1965" spans="1:9" ht="12.75">
      <c r="A1965"/>
      <c r="B1965"/>
      <c r="C1965"/>
      <c r="D1965"/>
      <c r="E1965"/>
      <c r="F1965"/>
      <c r="G1965" s="120"/>
      <c r="H1965" s="120"/>
      <c r="I1965"/>
    </row>
    <row r="1966" spans="1:9" ht="12.75">
      <c r="A1966"/>
      <c r="B1966"/>
      <c r="C1966"/>
      <c r="D1966"/>
      <c r="E1966"/>
      <c r="F1966"/>
      <c r="G1966" s="120"/>
      <c r="H1966" s="120"/>
      <c r="I1966"/>
    </row>
    <row r="1967" spans="1:9" ht="12.75">
      <c r="A1967"/>
      <c r="B1967"/>
      <c r="C1967"/>
      <c r="D1967"/>
      <c r="E1967"/>
      <c r="F1967"/>
      <c r="G1967" s="120"/>
      <c r="H1967" s="120"/>
      <c r="I1967"/>
    </row>
    <row r="1968" spans="1:9" ht="12.75">
      <c r="A1968"/>
      <c r="B1968"/>
      <c r="C1968"/>
      <c r="D1968"/>
      <c r="E1968"/>
      <c r="F1968"/>
      <c r="G1968" s="120"/>
      <c r="H1968" s="120"/>
      <c r="I1968"/>
    </row>
    <row r="1969" spans="1:9" ht="12.75">
      <c r="A1969"/>
      <c r="B1969"/>
      <c r="C1969"/>
      <c r="D1969"/>
      <c r="E1969"/>
      <c r="F1969"/>
      <c r="G1969" s="120"/>
      <c r="H1969" s="120"/>
      <c r="I1969"/>
    </row>
    <row r="1970" spans="1:9" ht="12.75">
      <c r="A1970"/>
      <c r="B1970"/>
      <c r="C1970"/>
      <c r="D1970"/>
      <c r="E1970"/>
      <c r="F1970"/>
      <c r="G1970" s="120"/>
      <c r="H1970" s="120"/>
      <c r="I1970"/>
    </row>
    <row r="1971" spans="1:9" ht="12.75">
      <c r="A1971"/>
      <c r="B1971"/>
      <c r="C1971"/>
      <c r="D1971"/>
      <c r="E1971"/>
      <c r="F1971"/>
      <c r="G1971" s="120"/>
      <c r="H1971" s="120"/>
      <c r="I1971"/>
    </row>
    <row r="1972" spans="1:9" ht="12.75">
      <c r="A1972"/>
      <c r="B1972"/>
      <c r="C1972"/>
      <c r="D1972"/>
      <c r="E1972"/>
      <c r="F1972"/>
      <c r="G1972" s="120"/>
      <c r="H1972" s="120"/>
      <c r="I1972"/>
    </row>
    <row r="1973" spans="1:9" ht="12.75">
      <c r="A1973"/>
      <c r="B1973"/>
      <c r="C1973"/>
      <c r="D1973"/>
      <c r="E1973"/>
      <c r="F1973"/>
      <c r="G1973" s="120"/>
      <c r="H1973" s="120"/>
      <c r="I1973"/>
    </row>
    <row r="1974" spans="1:9" ht="12.75">
      <c r="A1974"/>
      <c r="B1974"/>
      <c r="C1974"/>
      <c r="D1974"/>
      <c r="E1974"/>
      <c r="F1974"/>
      <c r="G1974" s="120"/>
      <c r="H1974" s="120"/>
      <c r="I1974"/>
    </row>
    <row r="1975" spans="1:9" ht="12.75">
      <c r="A1975"/>
      <c r="B1975"/>
      <c r="C1975"/>
      <c r="D1975"/>
      <c r="E1975"/>
      <c r="F1975"/>
      <c r="G1975" s="120"/>
      <c r="H1975" s="120"/>
      <c r="I1975"/>
    </row>
    <row r="1976" spans="1:9" ht="12.75">
      <c r="A1976"/>
      <c r="B1976"/>
      <c r="C1976"/>
      <c r="D1976"/>
      <c r="E1976"/>
      <c r="F1976"/>
      <c r="G1976" s="120"/>
      <c r="H1976" s="120"/>
      <c r="I1976"/>
    </row>
    <row r="1977" spans="1:9" ht="12.75">
      <c r="A1977"/>
      <c r="B1977"/>
      <c r="C1977"/>
      <c r="D1977"/>
      <c r="E1977"/>
      <c r="F1977"/>
      <c r="G1977" s="120"/>
      <c r="H1977" s="120"/>
      <c r="I1977"/>
    </row>
    <row r="1978" spans="1:9" ht="12.75">
      <c r="A1978"/>
      <c r="B1978"/>
      <c r="C1978"/>
      <c r="D1978"/>
      <c r="E1978"/>
      <c r="F1978"/>
      <c r="G1978" s="120"/>
      <c r="H1978" s="120"/>
      <c r="I1978"/>
    </row>
    <row r="1979" spans="1:9" ht="12.75">
      <c r="A1979"/>
      <c r="B1979"/>
      <c r="C1979"/>
      <c r="D1979"/>
      <c r="E1979"/>
      <c r="F1979"/>
      <c r="G1979" s="120"/>
      <c r="H1979" s="120"/>
      <c r="I1979"/>
    </row>
    <row r="1980" spans="1:9" ht="12.75">
      <c r="A1980"/>
      <c r="B1980"/>
      <c r="C1980"/>
      <c r="D1980"/>
      <c r="E1980"/>
      <c r="F1980"/>
      <c r="G1980" s="120"/>
      <c r="H1980" s="120"/>
      <c r="I1980"/>
    </row>
    <row r="1981" spans="1:9" ht="12.75">
      <c r="A1981"/>
      <c r="B1981"/>
      <c r="C1981"/>
      <c r="D1981"/>
      <c r="E1981"/>
      <c r="F1981"/>
      <c r="G1981" s="120"/>
      <c r="H1981" s="120"/>
      <c r="I1981"/>
    </row>
    <row r="1982" spans="1:9" ht="12.75">
      <c r="A1982"/>
      <c r="B1982"/>
      <c r="C1982"/>
      <c r="D1982"/>
      <c r="E1982"/>
      <c r="F1982"/>
      <c r="G1982" s="120"/>
      <c r="H1982" s="120"/>
      <c r="I1982"/>
    </row>
    <row r="1983" spans="1:9" ht="12.75">
      <c r="A1983"/>
      <c r="B1983"/>
      <c r="C1983"/>
      <c r="D1983"/>
      <c r="E1983"/>
      <c r="F1983"/>
      <c r="G1983" s="120"/>
      <c r="H1983" s="120"/>
      <c r="I1983"/>
    </row>
    <row r="1984" spans="1:9" ht="12.75">
      <c r="A1984"/>
      <c r="B1984"/>
      <c r="C1984"/>
      <c r="D1984"/>
      <c r="E1984"/>
      <c r="F1984"/>
      <c r="G1984" s="120"/>
      <c r="H1984" s="120"/>
      <c r="I1984"/>
    </row>
    <row r="1985" spans="1:9" ht="12.75">
      <c r="A1985"/>
      <c r="B1985"/>
      <c r="C1985"/>
      <c r="D1985"/>
      <c r="E1985"/>
      <c r="F1985"/>
      <c r="G1985" s="120"/>
      <c r="H1985" s="120"/>
      <c r="I1985"/>
    </row>
    <row r="1986" spans="1:9" ht="12.75">
      <c r="A1986"/>
      <c r="B1986"/>
      <c r="C1986"/>
      <c r="D1986"/>
      <c r="E1986"/>
      <c r="F1986"/>
      <c r="G1986" s="120"/>
      <c r="H1986" s="120"/>
      <c r="I1986"/>
    </row>
    <row r="1987" spans="1:9" ht="12.75">
      <c r="A1987"/>
      <c r="B1987"/>
      <c r="C1987"/>
      <c r="D1987"/>
      <c r="E1987"/>
      <c r="F1987"/>
      <c r="G1987" s="120"/>
      <c r="H1987" s="120"/>
      <c r="I1987"/>
    </row>
    <row r="1988" spans="1:9" ht="12.75">
      <c r="A1988"/>
      <c r="B1988"/>
      <c r="C1988"/>
      <c r="D1988"/>
      <c r="E1988"/>
      <c r="F1988"/>
      <c r="G1988" s="120"/>
      <c r="H1988" s="120"/>
      <c r="I1988"/>
    </row>
    <row r="1989" spans="1:9" ht="12.75">
      <c r="A1989"/>
      <c r="B1989"/>
      <c r="C1989"/>
      <c r="D1989"/>
      <c r="E1989"/>
      <c r="F1989"/>
      <c r="G1989" s="120"/>
      <c r="H1989" s="120"/>
      <c r="I1989"/>
    </row>
    <row r="1990" spans="1:9" ht="12.75">
      <c r="A1990"/>
      <c r="B1990"/>
      <c r="C1990"/>
      <c r="D1990"/>
      <c r="E1990"/>
      <c r="F1990"/>
      <c r="G1990" s="120"/>
      <c r="H1990" s="120"/>
      <c r="I1990"/>
    </row>
    <row r="1991" spans="1:9" ht="12.75">
      <c r="A1991"/>
      <c r="B1991"/>
      <c r="C1991"/>
      <c r="D1991"/>
      <c r="E1991"/>
      <c r="F1991"/>
      <c r="G1991" s="120"/>
      <c r="H1991" s="120"/>
      <c r="I1991"/>
    </row>
    <row r="1992" spans="1:9" ht="12.75">
      <c r="A1992"/>
      <c r="B1992"/>
      <c r="C1992"/>
      <c r="D1992"/>
      <c r="E1992"/>
      <c r="F1992"/>
      <c r="G1992" s="120"/>
      <c r="H1992" s="120"/>
      <c r="I1992"/>
    </row>
    <row r="1993" spans="1:9" ht="12.75">
      <c r="A1993"/>
      <c r="B1993"/>
      <c r="C1993"/>
      <c r="D1993"/>
      <c r="E1993"/>
      <c r="F1993"/>
      <c r="G1993" s="120"/>
      <c r="H1993" s="120"/>
      <c r="I1993"/>
    </row>
    <row r="1994" spans="1:9" ht="12.75">
      <c r="A1994"/>
      <c r="B1994"/>
      <c r="C1994"/>
      <c r="D1994"/>
      <c r="E1994"/>
      <c r="F1994"/>
      <c r="G1994" s="120"/>
      <c r="H1994" s="120"/>
      <c r="I1994"/>
    </row>
    <row r="1995" spans="1:9" ht="12.75">
      <c r="A1995"/>
      <c r="B1995"/>
      <c r="C1995"/>
      <c r="D1995"/>
      <c r="E1995"/>
      <c r="F1995"/>
      <c r="G1995" s="120"/>
      <c r="H1995" s="120"/>
      <c r="I1995"/>
    </row>
    <row r="1996" spans="1:9" ht="12.75">
      <c r="A1996"/>
      <c r="B1996"/>
      <c r="C1996"/>
      <c r="D1996"/>
      <c r="E1996"/>
      <c r="F1996"/>
      <c r="G1996" s="120"/>
      <c r="H1996" s="120"/>
      <c r="I1996"/>
    </row>
    <row r="1997" spans="1:9" ht="12.75">
      <c r="A1997"/>
      <c r="B1997"/>
      <c r="C1997"/>
      <c r="D1997"/>
      <c r="E1997"/>
      <c r="F1997"/>
      <c r="G1997" s="120"/>
      <c r="H1997" s="120"/>
      <c r="I1997"/>
    </row>
    <row r="1998" spans="1:9" ht="12.75">
      <c r="A1998"/>
      <c r="B1998"/>
      <c r="C1998"/>
      <c r="D1998"/>
      <c r="E1998"/>
      <c r="F1998"/>
      <c r="G1998" s="120"/>
      <c r="H1998" s="120"/>
      <c r="I1998"/>
    </row>
    <row r="1999" spans="1:9" ht="12.75">
      <c r="A1999"/>
      <c r="B1999"/>
      <c r="C1999"/>
      <c r="D1999"/>
      <c r="E1999"/>
      <c r="F1999"/>
      <c r="G1999" s="120"/>
      <c r="H1999" s="120"/>
      <c r="I1999"/>
    </row>
    <row r="2000" spans="1:9" ht="12.75">
      <c r="A2000"/>
      <c r="B2000"/>
      <c r="C2000"/>
      <c r="D2000"/>
      <c r="E2000"/>
      <c r="F2000"/>
      <c r="G2000" s="120"/>
      <c r="H2000" s="120"/>
      <c r="I2000"/>
    </row>
    <row r="2001" spans="1:9" ht="12.75">
      <c r="A2001"/>
      <c r="B2001"/>
      <c r="C2001"/>
      <c r="D2001"/>
      <c r="E2001"/>
      <c r="F2001"/>
      <c r="G2001" s="120"/>
      <c r="H2001" s="120"/>
      <c r="I2001"/>
    </row>
    <row r="2002" spans="1:9" ht="12.75">
      <c r="A2002"/>
      <c r="B2002"/>
      <c r="C2002"/>
      <c r="D2002"/>
      <c r="E2002"/>
      <c r="F2002"/>
      <c r="G2002" s="120"/>
      <c r="H2002" s="120"/>
      <c r="I2002"/>
    </row>
    <row r="2003" spans="1:9" ht="12.75">
      <c r="A2003"/>
      <c r="B2003"/>
      <c r="C2003"/>
      <c r="D2003"/>
      <c r="E2003"/>
      <c r="F2003"/>
      <c r="G2003" s="120"/>
      <c r="H2003" s="120"/>
      <c r="I2003"/>
    </row>
    <row r="2004" spans="1:9" ht="12.75">
      <c r="A2004"/>
      <c r="B2004"/>
      <c r="C2004"/>
      <c r="D2004"/>
      <c r="E2004"/>
      <c r="F2004"/>
      <c r="G2004" s="120"/>
      <c r="H2004" s="120"/>
      <c r="I2004"/>
    </row>
    <row r="2005" spans="1:9" ht="12.75">
      <c r="A2005"/>
      <c r="B2005"/>
      <c r="C2005"/>
      <c r="D2005"/>
      <c r="E2005"/>
      <c r="F2005"/>
      <c r="G2005" s="120"/>
      <c r="H2005" s="120"/>
      <c r="I2005"/>
    </row>
    <row r="2006" spans="1:9" ht="12.75">
      <c r="A2006"/>
      <c r="B2006"/>
      <c r="C2006"/>
      <c r="D2006"/>
      <c r="E2006"/>
      <c r="F2006"/>
      <c r="G2006" s="120"/>
      <c r="H2006" s="120"/>
      <c r="I2006"/>
    </row>
    <row r="2007" spans="1:9" ht="12.75">
      <c r="A2007"/>
      <c r="B2007"/>
      <c r="C2007"/>
      <c r="D2007"/>
      <c r="E2007"/>
      <c r="F2007"/>
      <c r="G2007" s="120"/>
      <c r="H2007" s="120"/>
      <c r="I2007"/>
    </row>
    <row r="2008" spans="1:9" ht="12.75">
      <c r="A2008"/>
      <c r="B2008"/>
      <c r="C2008"/>
      <c r="D2008"/>
      <c r="E2008"/>
      <c r="F2008"/>
      <c r="G2008" s="120"/>
      <c r="H2008" s="120"/>
      <c r="I2008"/>
    </row>
    <row r="2009" spans="1:9" ht="12.75">
      <c r="A2009"/>
      <c r="B2009"/>
      <c r="C2009"/>
      <c r="D2009"/>
      <c r="E2009"/>
      <c r="F2009"/>
      <c r="G2009" s="120"/>
      <c r="H2009" s="120"/>
      <c r="I2009"/>
    </row>
    <row r="2010" spans="1:9" ht="12.75">
      <c r="A2010"/>
      <c r="B2010"/>
      <c r="C2010"/>
      <c r="D2010"/>
      <c r="E2010"/>
      <c r="F2010"/>
      <c r="G2010" s="120"/>
      <c r="H2010" s="120"/>
      <c r="I2010"/>
    </row>
    <row r="2011" spans="1:9" ht="12.75">
      <c r="A2011"/>
      <c r="B2011"/>
      <c r="C2011"/>
      <c r="D2011"/>
      <c r="E2011"/>
      <c r="F2011"/>
      <c r="G2011" s="120"/>
      <c r="H2011" s="120"/>
      <c r="I2011"/>
    </row>
    <row r="2012" spans="1:9" ht="12.75">
      <c r="A2012"/>
      <c r="B2012"/>
      <c r="C2012"/>
      <c r="D2012"/>
      <c r="E2012"/>
      <c r="F2012"/>
      <c r="G2012" s="120"/>
      <c r="H2012" s="120"/>
      <c r="I2012"/>
    </row>
    <row r="2013" spans="1:9" ht="12.75">
      <c r="A2013"/>
      <c r="B2013"/>
      <c r="C2013"/>
      <c r="D2013"/>
      <c r="E2013"/>
      <c r="F2013"/>
      <c r="G2013" s="120"/>
      <c r="H2013" s="120"/>
      <c r="I2013"/>
    </row>
    <row r="2014" spans="1:9" ht="12.75">
      <c r="A2014"/>
      <c r="B2014"/>
      <c r="C2014"/>
      <c r="D2014"/>
      <c r="E2014"/>
      <c r="F2014"/>
      <c r="G2014" s="120"/>
      <c r="H2014" s="120"/>
      <c r="I2014"/>
    </row>
    <row r="2015" spans="1:9" ht="12.75">
      <c r="A2015"/>
      <c r="B2015"/>
      <c r="C2015"/>
      <c r="D2015"/>
      <c r="E2015"/>
      <c r="F2015"/>
      <c r="G2015" s="120"/>
      <c r="H2015" s="120"/>
      <c r="I2015"/>
    </row>
    <row r="2016" spans="1:9" ht="12.75">
      <c r="A2016"/>
      <c r="B2016"/>
      <c r="C2016"/>
      <c r="D2016"/>
      <c r="E2016"/>
      <c r="F2016"/>
      <c r="G2016" s="120"/>
      <c r="H2016" s="120"/>
      <c r="I2016"/>
    </row>
    <row r="2017" spans="1:9" ht="12.75">
      <c r="A2017"/>
      <c r="B2017"/>
      <c r="C2017"/>
      <c r="D2017"/>
      <c r="E2017"/>
      <c r="F2017"/>
      <c r="G2017" s="120"/>
      <c r="H2017" s="120"/>
      <c r="I2017"/>
    </row>
    <row r="2018" spans="1:9" ht="12.75">
      <c r="A2018"/>
      <c r="B2018"/>
      <c r="C2018"/>
      <c r="D2018"/>
      <c r="E2018"/>
      <c r="F2018"/>
      <c r="G2018" s="120"/>
      <c r="H2018" s="120"/>
      <c r="I2018"/>
    </row>
    <row r="2019" spans="1:9" ht="12.75">
      <c r="A2019"/>
      <c r="B2019"/>
      <c r="C2019"/>
      <c r="D2019"/>
      <c r="E2019"/>
      <c r="F2019"/>
      <c r="G2019" s="120"/>
      <c r="H2019" s="120"/>
      <c r="I2019"/>
    </row>
    <row r="2020" spans="1:9" ht="12.75">
      <c r="A2020"/>
      <c r="B2020"/>
      <c r="C2020"/>
      <c r="D2020"/>
      <c r="E2020"/>
      <c r="F2020"/>
      <c r="G2020" s="120"/>
      <c r="H2020" s="120"/>
      <c r="I2020"/>
    </row>
    <row r="2021" spans="1:9" ht="12.75">
      <c r="A2021"/>
      <c r="B2021"/>
      <c r="C2021"/>
      <c r="D2021"/>
      <c r="E2021"/>
      <c r="F2021"/>
      <c r="G2021" s="120"/>
      <c r="H2021" s="120"/>
      <c r="I2021"/>
    </row>
    <row r="2022" spans="1:9" ht="12.75">
      <c r="A2022"/>
      <c r="B2022"/>
      <c r="C2022"/>
      <c r="D2022"/>
      <c r="E2022"/>
      <c r="F2022"/>
      <c r="G2022" s="120"/>
      <c r="H2022" s="120"/>
      <c r="I2022"/>
    </row>
    <row r="2023" spans="1:9" ht="12.75">
      <c r="A2023"/>
      <c r="B2023"/>
      <c r="C2023"/>
      <c r="D2023"/>
      <c r="E2023"/>
      <c r="F2023"/>
      <c r="G2023" s="120"/>
      <c r="H2023" s="120"/>
      <c r="I2023"/>
    </row>
    <row r="2024" spans="1:9" ht="12.75">
      <c r="A2024"/>
      <c r="B2024"/>
      <c r="C2024"/>
      <c r="D2024"/>
      <c r="E2024"/>
      <c r="F2024"/>
      <c r="G2024" s="120"/>
      <c r="H2024" s="120"/>
      <c r="I2024"/>
    </row>
    <row r="2025" spans="1:9" ht="12.75">
      <c r="A2025"/>
      <c r="B2025"/>
      <c r="C2025"/>
      <c r="D2025"/>
      <c r="E2025"/>
      <c r="F2025"/>
      <c r="G2025" s="120"/>
      <c r="H2025" s="120"/>
      <c r="I2025"/>
    </row>
    <row r="2026" spans="1:9" ht="12.75">
      <c r="A2026"/>
      <c r="B2026"/>
      <c r="C2026"/>
      <c r="D2026"/>
      <c r="E2026"/>
      <c r="F2026"/>
      <c r="G2026" s="120"/>
      <c r="H2026" s="120"/>
      <c r="I2026"/>
    </row>
    <row r="2027" spans="1:9" ht="12.75">
      <c r="A2027"/>
      <c r="B2027"/>
      <c r="C2027"/>
      <c r="D2027"/>
      <c r="E2027"/>
      <c r="F2027"/>
      <c r="G2027" s="120"/>
      <c r="H2027" s="120"/>
      <c r="I2027"/>
    </row>
    <row r="2028" spans="1:9" ht="12.75">
      <c r="A2028"/>
      <c r="B2028"/>
      <c r="C2028"/>
      <c r="D2028"/>
      <c r="E2028"/>
      <c r="F2028"/>
      <c r="G2028" s="120"/>
      <c r="H2028" s="120"/>
      <c r="I2028"/>
    </row>
    <row r="2029" spans="1:9" ht="12.75">
      <c r="A2029"/>
      <c r="B2029"/>
      <c r="C2029"/>
      <c r="D2029"/>
      <c r="E2029"/>
      <c r="F2029"/>
      <c r="G2029" s="120"/>
      <c r="H2029" s="120"/>
      <c r="I2029"/>
    </row>
    <row r="2030" spans="1:9" ht="12.75">
      <c r="A2030"/>
      <c r="B2030"/>
      <c r="C2030"/>
      <c r="D2030"/>
      <c r="E2030"/>
      <c r="F2030"/>
      <c r="G2030" s="120"/>
      <c r="H2030" s="120"/>
      <c r="I2030"/>
    </row>
    <row r="2031" spans="1:9" ht="12.75">
      <c r="A2031"/>
      <c r="B2031"/>
      <c r="C2031"/>
      <c r="D2031"/>
      <c r="E2031"/>
      <c r="F2031"/>
      <c r="G2031" s="120"/>
      <c r="H2031" s="120"/>
      <c r="I2031"/>
    </row>
    <row r="2032" spans="1:9" ht="12.75">
      <c r="A2032"/>
      <c r="B2032"/>
      <c r="C2032"/>
      <c r="D2032"/>
      <c r="E2032"/>
      <c r="F2032"/>
      <c r="G2032" s="120"/>
      <c r="H2032" s="120"/>
      <c r="I2032"/>
    </row>
    <row r="2033" spans="1:9" ht="12.75">
      <c r="A2033"/>
      <c r="B2033"/>
      <c r="C2033"/>
      <c r="D2033"/>
      <c r="E2033"/>
      <c r="F2033"/>
      <c r="G2033" s="120"/>
      <c r="H2033" s="120"/>
      <c r="I2033"/>
    </row>
    <row r="2034" spans="1:9" ht="12.75">
      <c r="A2034"/>
      <c r="B2034"/>
      <c r="C2034"/>
      <c r="D2034"/>
      <c r="E2034"/>
      <c r="F2034"/>
      <c r="G2034" s="120"/>
      <c r="H2034" s="120"/>
      <c r="I2034"/>
    </row>
    <row r="2035" spans="1:9" ht="12.75">
      <c r="A2035"/>
      <c r="B2035"/>
      <c r="C2035"/>
      <c r="D2035"/>
      <c r="E2035"/>
      <c r="F2035"/>
      <c r="G2035" s="120"/>
      <c r="H2035" s="120"/>
      <c r="I2035"/>
    </row>
    <row r="2036" spans="1:9" ht="12.75">
      <c r="A2036"/>
      <c r="B2036"/>
      <c r="C2036"/>
      <c r="D2036"/>
      <c r="E2036"/>
      <c r="F2036"/>
      <c r="G2036" s="120"/>
      <c r="H2036" s="120"/>
      <c r="I2036"/>
    </row>
    <row r="2037" spans="1:9" ht="12.75">
      <c r="A2037"/>
      <c r="B2037"/>
      <c r="C2037"/>
      <c r="D2037"/>
      <c r="E2037"/>
      <c r="F2037"/>
      <c r="G2037" s="120"/>
      <c r="H2037" s="120"/>
      <c r="I2037"/>
    </row>
    <row r="2038" spans="1:9" ht="12.75">
      <c r="A2038"/>
      <c r="B2038"/>
      <c r="C2038"/>
      <c r="D2038"/>
      <c r="E2038"/>
      <c r="F2038"/>
      <c r="G2038" s="120"/>
      <c r="H2038" s="120"/>
      <c r="I2038"/>
    </row>
    <row r="2039" spans="1:9" ht="12.75">
      <c r="A2039"/>
      <c r="B2039"/>
      <c r="C2039"/>
      <c r="D2039"/>
      <c r="E2039"/>
      <c r="F2039"/>
      <c r="G2039" s="120"/>
      <c r="H2039" s="120"/>
      <c r="I2039"/>
    </row>
    <row r="2040" spans="1:9" ht="12.75">
      <c r="A2040"/>
      <c r="B2040"/>
      <c r="C2040"/>
      <c r="D2040"/>
      <c r="E2040"/>
      <c r="F2040"/>
      <c r="G2040" s="120"/>
      <c r="H2040" s="120"/>
      <c r="I2040"/>
    </row>
    <row r="2041" spans="1:9" ht="12.75">
      <c r="A2041"/>
      <c r="B2041"/>
      <c r="C2041"/>
      <c r="D2041"/>
      <c r="E2041"/>
      <c r="F2041"/>
      <c r="G2041" s="120"/>
      <c r="H2041" s="120"/>
      <c r="I2041"/>
    </row>
    <row r="2042" spans="1:9" ht="12.75">
      <c r="A2042"/>
      <c r="B2042"/>
      <c r="C2042"/>
      <c r="D2042"/>
      <c r="E2042"/>
      <c r="F2042"/>
      <c r="G2042" s="120"/>
      <c r="H2042" s="120"/>
      <c r="I2042"/>
    </row>
    <row r="2043" spans="1:9" ht="12.75">
      <c r="A2043"/>
      <c r="B2043"/>
      <c r="C2043"/>
      <c r="D2043"/>
      <c r="E2043"/>
      <c r="F2043"/>
      <c r="G2043" s="120"/>
      <c r="H2043" s="120"/>
      <c r="I2043"/>
    </row>
    <row r="2044" spans="1:9" ht="12.75">
      <c r="A2044"/>
      <c r="B2044"/>
      <c r="C2044"/>
      <c r="D2044"/>
      <c r="E2044"/>
      <c r="F2044"/>
      <c r="G2044" s="120"/>
      <c r="H2044" s="120"/>
      <c r="I2044"/>
    </row>
    <row r="2045" spans="1:9" ht="12.75">
      <c r="A2045"/>
      <c r="B2045"/>
      <c r="C2045"/>
      <c r="D2045"/>
      <c r="E2045"/>
      <c r="F2045"/>
      <c r="G2045" s="120"/>
      <c r="H2045" s="120"/>
      <c r="I2045"/>
    </row>
    <row r="2046" spans="1:9" ht="12.75">
      <c r="A2046"/>
      <c r="B2046"/>
      <c r="C2046"/>
      <c r="D2046"/>
      <c r="E2046"/>
      <c r="F2046"/>
      <c r="G2046" s="120"/>
      <c r="H2046" s="120"/>
      <c r="I2046"/>
    </row>
    <row r="2047" spans="1:9" ht="12.75">
      <c r="A2047"/>
      <c r="B2047"/>
      <c r="C2047"/>
      <c r="D2047"/>
      <c r="E2047"/>
      <c r="F2047"/>
      <c r="G2047" s="120"/>
      <c r="H2047" s="120"/>
      <c r="I2047"/>
    </row>
    <row r="2048" spans="1:9" ht="12.75">
      <c r="A2048"/>
      <c r="B2048"/>
      <c r="C2048"/>
      <c r="D2048"/>
      <c r="E2048"/>
      <c r="F2048"/>
      <c r="G2048" s="120"/>
      <c r="H2048" s="120"/>
      <c r="I2048"/>
    </row>
    <row r="2049" spans="1:9" ht="12.75">
      <c r="A2049"/>
      <c r="B2049"/>
      <c r="C2049"/>
      <c r="D2049"/>
      <c r="E2049"/>
      <c r="F2049"/>
      <c r="G2049" s="120"/>
      <c r="H2049" s="120"/>
      <c r="I2049"/>
    </row>
    <row r="2050" spans="1:9" ht="12.75">
      <c r="A2050"/>
      <c r="B2050"/>
      <c r="C2050"/>
      <c r="D2050"/>
      <c r="E2050"/>
      <c r="F2050"/>
      <c r="G2050" s="120"/>
      <c r="H2050" s="120"/>
      <c r="I2050"/>
    </row>
    <row r="2051" spans="1:9" ht="12.75">
      <c r="A2051"/>
      <c r="B2051"/>
      <c r="C2051"/>
      <c r="D2051"/>
      <c r="E2051"/>
      <c r="F2051"/>
      <c r="G2051" s="120"/>
      <c r="H2051" s="120"/>
      <c r="I2051"/>
    </row>
    <row r="2052" spans="1:9" ht="12.75">
      <c r="A2052"/>
      <c r="B2052"/>
      <c r="C2052"/>
      <c r="D2052"/>
      <c r="E2052"/>
      <c r="F2052"/>
      <c r="G2052" s="120"/>
      <c r="H2052" s="120"/>
      <c r="I2052"/>
    </row>
    <row r="2053" spans="1:9" ht="12.75">
      <c r="A2053"/>
      <c r="B2053"/>
      <c r="C2053"/>
      <c r="D2053"/>
      <c r="E2053"/>
      <c r="F2053"/>
      <c r="G2053" s="120"/>
      <c r="H2053" s="120"/>
      <c r="I2053"/>
    </row>
    <row r="2054" spans="1:9" ht="12.75">
      <c r="A2054"/>
      <c r="B2054"/>
      <c r="C2054"/>
      <c r="D2054"/>
      <c r="E2054"/>
      <c r="F2054"/>
      <c r="G2054" s="120"/>
      <c r="H2054" s="120"/>
      <c r="I2054"/>
    </row>
    <row r="2055" spans="1:9" ht="12.75">
      <c r="A2055"/>
      <c r="B2055"/>
      <c r="C2055"/>
      <c r="D2055"/>
      <c r="E2055"/>
      <c r="F2055"/>
      <c r="G2055" s="120"/>
      <c r="H2055" s="120"/>
      <c r="I2055"/>
    </row>
    <row r="2056" spans="1:9" ht="12.75">
      <c r="A2056"/>
      <c r="B2056"/>
      <c r="C2056"/>
      <c r="D2056"/>
      <c r="E2056"/>
      <c r="F2056"/>
      <c r="G2056" s="120"/>
      <c r="H2056" s="120"/>
      <c r="I2056"/>
    </row>
    <row r="2057" spans="1:9" ht="12.75">
      <c r="A2057"/>
      <c r="B2057"/>
      <c r="C2057"/>
      <c r="D2057"/>
      <c r="E2057"/>
      <c r="F2057"/>
      <c r="G2057" s="120"/>
      <c r="H2057" s="120"/>
      <c r="I2057"/>
    </row>
    <row r="2058" spans="1:9" ht="12.75">
      <c r="A2058"/>
      <c r="B2058"/>
      <c r="C2058"/>
      <c r="D2058"/>
      <c r="E2058"/>
      <c r="F2058"/>
      <c r="G2058" s="120"/>
      <c r="H2058" s="120"/>
      <c r="I2058"/>
    </row>
    <row r="2059" spans="1:9" ht="12.75">
      <c r="A2059"/>
      <c r="B2059"/>
      <c r="C2059"/>
      <c r="D2059"/>
      <c r="E2059"/>
      <c r="F2059"/>
      <c r="G2059" s="120"/>
      <c r="H2059" s="120"/>
      <c r="I2059"/>
    </row>
    <row r="2060" spans="1:9" ht="12.75">
      <c r="A2060"/>
      <c r="B2060"/>
      <c r="C2060"/>
      <c r="D2060"/>
      <c r="E2060"/>
      <c r="F2060"/>
      <c r="G2060" s="120"/>
      <c r="H2060" s="120"/>
      <c r="I2060"/>
    </row>
    <row r="2061" spans="1:9" ht="12.75">
      <c r="A2061"/>
      <c r="B2061"/>
      <c r="C2061"/>
      <c r="D2061"/>
      <c r="E2061"/>
      <c r="F2061"/>
      <c r="G2061" s="120"/>
      <c r="H2061" s="120"/>
      <c r="I2061"/>
    </row>
    <row r="2062" spans="1:9" ht="12.75">
      <c r="A2062"/>
      <c r="B2062"/>
      <c r="C2062"/>
      <c r="D2062"/>
      <c r="E2062"/>
      <c r="F2062"/>
      <c r="G2062" s="120"/>
      <c r="H2062" s="120"/>
      <c r="I2062"/>
    </row>
    <row r="2063" spans="1:9" ht="12.75">
      <c r="A2063"/>
      <c r="B2063"/>
      <c r="C2063"/>
      <c r="D2063"/>
      <c r="E2063"/>
      <c r="F2063"/>
      <c r="G2063" s="120"/>
      <c r="H2063" s="120"/>
      <c r="I2063"/>
    </row>
    <row r="2064" spans="1:9" ht="12.75">
      <c r="A2064"/>
      <c r="B2064"/>
      <c r="C2064"/>
      <c r="D2064"/>
      <c r="E2064"/>
      <c r="F2064"/>
      <c r="G2064" s="120"/>
      <c r="H2064" s="120"/>
      <c r="I2064"/>
    </row>
    <row r="2065" spans="1:9" ht="12.75">
      <c r="A2065"/>
      <c r="B2065"/>
      <c r="C2065"/>
      <c r="D2065"/>
      <c r="E2065"/>
      <c r="F2065"/>
      <c r="G2065" s="120"/>
      <c r="H2065" s="120"/>
      <c r="I2065"/>
    </row>
    <row r="2066" spans="1:9" ht="12.75">
      <c r="A2066"/>
      <c r="B2066"/>
      <c r="C2066"/>
      <c r="D2066"/>
      <c r="E2066"/>
      <c r="F2066"/>
      <c r="G2066" s="120"/>
      <c r="H2066" s="120"/>
      <c r="I2066"/>
    </row>
    <row r="2067" spans="1:9" ht="12.75">
      <c r="A2067"/>
      <c r="B2067"/>
      <c r="C2067"/>
      <c r="D2067"/>
      <c r="E2067"/>
      <c r="F2067"/>
      <c r="G2067" s="120"/>
      <c r="H2067" s="120"/>
      <c r="I2067"/>
    </row>
    <row r="2068" spans="1:9" ht="12.75">
      <c r="A2068"/>
      <c r="B2068"/>
      <c r="C2068"/>
      <c r="D2068"/>
      <c r="E2068"/>
      <c r="F2068"/>
      <c r="G2068" s="120"/>
      <c r="H2068" s="120"/>
      <c r="I2068"/>
    </row>
    <row r="2069" spans="1:9" ht="12.75">
      <c r="A2069"/>
      <c r="B2069"/>
      <c r="C2069"/>
      <c r="D2069"/>
      <c r="E2069"/>
      <c r="F2069"/>
      <c r="G2069" s="120"/>
      <c r="H2069" s="120"/>
      <c r="I2069"/>
    </row>
    <row r="2070" spans="1:9" ht="12.75">
      <c r="A2070"/>
      <c r="B2070"/>
      <c r="C2070"/>
      <c r="D2070"/>
      <c r="E2070"/>
      <c r="F2070"/>
      <c r="G2070" s="120"/>
      <c r="H2070" s="120"/>
      <c r="I2070"/>
    </row>
    <row r="2071" spans="1:9" ht="12.75">
      <c r="A2071"/>
      <c r="B2071"/>
      <c r="C2071"/>
      <c r="D2071"/>
      <c r="E2071"/>
      <c r="F2071"/>
      <c r="G2071" s="120"/>
      <c r="H2071" s="120"/>
      <c r="I2071"/>
    </row>
    <row r="2072" spans="1:9" ht="12.75">
      <c r="A2072"/>
      <c r="B2072"/>
      <c r="C2072"/>
      <c r="D2072"/>
      <c r="E2072"/>
      <c r="F2072"/>
      <c r="G2072" s="120"/>
      <c r="H2072" s="120"/>
      <c r="I2072"/>
    </row>
    <row r="2073" spans="1:9" ht="12.75">
      <c r="A2073"/>
      <c r="B2073"/>
      <c r="C2073"/>
      <c r="D2073"/>
      <c r="E2073"/>
      <c r="F2073"/>
      <c r="G2073" s="120"/>
      <c r="H2073" s="120"/>
      <c r="I2073"/>
    </row>
    <row r="2074" spans="1:9" ht="12.75">
      <c r="A2074"/>
      <c r="B2074"/>
      <c r="C2074"/>
      <c r="D2074"/>
      <c r="E2074"/>
      <c r="F2074"/>
      <c r="G2074" s="120"/>
      <c r="H2074" s="120"/>
      <c r="I2074"/>
    </row>
    <row r="2075" spans="1:9" ht="12.75">
      <c r="A2075"/>
      <c r="B2075"/>
      <c r="C2075"/>
      <c r="D2075"/>
      <c r="E2075"/>
      <c r="F2075"/>
      <c r="G2075" s="120"/>
      <c r="H2075" s="120"/>
      <c r="I2075"/>
    </row>
    <row r="2076" spans="1:9" ht="12.75">
      <c r="A2076"/>
      <c r="B2076"/>
      <c r="C2076"/>
      <c r="D2076"/>
      <c r="E2076"/>
      <c r="F2076"/>
      <c r="G2076" s="120"/>
      <c r="H2076" s="120"/>
      <c r="I2076"/>
    </row>
    <row r="2077" spans="1:9" ht="12.75">
      <c r="A2077"/>
      <c r="B2077"/>
      <c r="C2077"/>
      <c r="D2077"/>
      <c r="E2077"/>
      <c r="F2077"/>
      <c r="G2077" s="120"/>
      <c r="H2077" s="120"/>
      <c r="I2077"/>
    </row>
    <row r="2078" spans="1:9" ht="12.75">
      <c r="A2078"/>
      <c r="B2078"/>
      <c r="C2078"/>
      <c r="D2078"/>
      <c r="E2078"/>
      <c r="F2078"/>
      <c r="G2078" s="120"/>
      <c r="H2078" s="120"/>
      <c r="I2078"/>
    </row>
    <row r="2079" spans="1:9" ht="12.75">
      <c r="A2079"/>
      <c r="B2079"/>
      <c r="C2079"/>
      <c r="D2079"/>
      <c r="E2079"/>
      <c r="F2079"/>
      <c r="G2079" s="120"/>
      <c r="H2079" s="120"/>
      <c r="I2079"/>
    </row>
    <row r="2080" spans="1:9" ht="12.75">
      <c r="A2080"/>
      <c r="B2080"/>
      <c r="C2080"/>
      <c r="D2080"/>
      <c r="E2080"/>
      <c r="F2080"/>
      <c r="G2080" s="120"/>
      <c r="H2080" s="120"/>
      <c r="I2080"/>
    </row>
    <row r="2081" spans="1:9" ht="12.75">
      <c r="A2081"/>
      <c r="B2081"/>
      <c r="C2081"/>
      <c r="D2081"/>
      <c r="E2081"/>
      <c r="F2081"/>
      <c r="G2081" s="120"/>
      <c r="H2081" s="120"/>
      <c r="I2081"/>
    </row>
    <row r="2082" spans="1:9" ht="12.75">
      <c r="A2082"/>
      <c r="B2082"/>
      <c r="C2082"/>
      <c r="D2082"/>
      <c r="E2082"/>
      <c r="F2082"/>
      <c r="G2082" s="120"/>
      <c r="H2082" s="120"/>
      <c r="I2082"/>
    </row>
    <row r="2083" spans="1:9" ht="12.75">
      <c r="A2083"/>
      <c r="B2083"/>
      <c r="C2083"/>
      <c r="D2083"/>
      <c r="E2083"/>
      <c r="F2083"/>
      <c r="G2083" s="120"/>
      <c r="H2083" s="120"/>
      <c r="I2083"/>
    </row>
    <row r="2084" spans="1:9" ht="12.75">
      <c r="A2084"/>
      <c r="B2084"/>
      <c r="C2084"/>
      <c r="D2084"/>
      <c r="E2084"/>
      <c r="F2084"/>
      <c r="G2084" s="120"/>
      <c r="H2084" s="120"/>
      <c r="I2084"/>
    </row>
    <row r="2085" spans="1:9" ht="12.75">
      <c r="A2085"/>
      <c r="B2085"/>
      <c r="C2085"/>
      <c r="D2085"/>
      <c r="E2085"/>
      <c r="F2085"/>
      <c r="G2085" s="120"/>
      <c r="H2085" s="120"/>
      <c r="I2085"/>
    </row>
    <row r="2086" spans="1:9" ht="12.75">
      <c r="A2086"/>
      <c r="B2086"/>
      <c r="C2086"/>
      <c r="D2086"/>
      <c r="E2086"/>
      <c r="F2086"/>
      <c r="G2086" s="120"/>
      <c r="H2086" s="120"/>
      <c r="I2086"/>
    </row>
    <row r="2087" spans="1:9" ht="12.75">
      <c r="A2087"/>
      <c r="B2087"/>
      <c r="C2087"/>
      <c r="D2087"/>
      <c r="E2087"/>
      <c r="F2087"/>
      <c r="G2087" s="120"/>
      <c r="H2087" s="120"/>
      <c r="I2087"/>
    </row>
    <row r="2088" spans="1:9" ht="12.75">
      <c r="A2088"/>
      <c r="B2088"/>
      <c r="C2088"/>
      <c r="D2088"/>
      <c r="E2088"/>
      <c r="F2088"/>
      <c r="G2088" s="120"/>
      <c r="H2088" s="120"/>
      <c r="I2088"/>
    </row>
    <row r="2089" spans="1:9" ht="12.75">
      <c r="A2089"/>
      <c r="B2089"/>
      <c r="C2089"/>
      <c r="D2089"/>
      <c r="E2089"/>
      <c r="F2089"/>
      <c r="G2089" s="120"/>
      <c r="H2089" s="120"/>
      <c r="I2089"/>
    </row>
    <row r="2090" spans="1:9" ht="12.75">
      <c r="A2090"/>
      <c r="B2090"/>
      <c r="C2090"/>
      <c r="D2090"/>
      <c r="E2090"/>
      <c r="F2090"/>
      <c r="G2090" s="120"/>
      <c r="H2090" s="120"/>
      <c r="I2090"/>
    </row>
    <row r="2091" spans="1:9" ht="12.75">
      <c r="A2091"/>
      <c r="B2091"/>
      <c r="C2091"/>
      <c r="D2091"/>
      <c r="E2091"/>
      <c r="F2091"/>
      <c r="G2091" s="120"/>
      <c r="H2091" s="120"/>
      <c r="I2091"/>
    </row>
    <row r="2092" spans="1:9" ht="12.75">
      <c r="A2092"/>
      <c r="B2092"/>
      <c r="C2092"/>
      <c r="D2092"/>
      <c r="E2092"/>
      <c r="F2092"/>
      <c r="G2092" s="120"/>
      <c r="H2092" s="120"/>
      <c r="I2092"/>
    </row>
    <row r="2093" spans="1:9" ht="12.75">
      <c r="A2093"/>
      <c r="B2093"/>
      <c r="C2093"/>
      <c r="D2093"/>
      <c r="E2093"/>
      <c r="F2093"/>
      <c r="G2093" s="120"/>
      <c r="H2093" s="120"/>
      <c r="I2093"/>
    </row>
    <row r="2094" spans="1:9" ht="12.75">
      <c r="A2094"/>
      <c r="B2094"/>
      <c r="C2094"/>
      <c r="D2094"/>
      <c r="E2094"/>
      <c r="F2094"/>
      <c r="G2094" s="120"/>
      <c r="H2094" s="120"/>
      <c r="I2094"/>
    </row>
    <row r="2095" spans="1:9" ht="12.75">
      <c r="A2095"/>
      <c r="B2095"/>
      <c r="C2095"/>
      <c r="D2095"/>
      <c r="E2095"/>
      <c r="F2095"/>
      <c r="G2095" s="120"/>
      <c r="H2095" s="120"/>
      <c r="I2095"/>
    </row>
    <row r="2096" spans="1:9" ht="12.75">
      <c r="A2096"/>
      <c r="B2096"/>
      <c r="C2096"/>
      <c r="D2096"/>
      <c r="E2096"/>
      <c r="F2096"/>
      <c r="G2096" s="120"/>
      <c r="H2096" s="120"/>
      <c r="I2096"/>
    </row>
    <row r="2097" spans="1:9" ht="12.75">
      <c r="A2097"/>
      <c r="B2097"/>
      <c r="C2097"/>
      <c r="D2097"/>
      <c r="E2097"/>
      <c r="F2097"/>
      <c r="G2097" s="120"/>
      <c r="H2097" s="120"/>
      <c r="I2097"/>
    </row>
    <row r="2098" spans="1:9" ht="12.75">
      <c r="A2098"/>
      <c r="B2098"/>
      <c r="C2098"/>
      <c r="D2098"/>
      <c r="E2098"/>
      <c r="F2098"/>
      <c r="G2098" s="120"/>
      <c r="H2098" s="120"/>
      <c r="I2098"/>
    </row>
    <row r="2099" spans="1:9" ht="12.75">
      <c r="A2099"/>
      <c r="B2099"/>
      <c r="C2099"/>
      <c r="D2099"/>
      <c r="E2099"/>
      <c r="F2099"/>
      <c r="G2099" s="120"/>
      <c r="H2099" s="120"/>
      <c r="I2099"/>
    </row>
    <row r="2100" spans="1:9" ht="12.75">
      <c r="A2100"/>
      <c r="B2100"/>
      <c r="C2100"/>
      <c r="D2100"/>
      <c r="E2100"/>
      <c r="F2100"/>
      <c r="G2100" s="120"/>
      <c r="H2100" s="120"/>
      <c r="I2100"/>
    </row>
    <row r="2101" spans="1:9" ht="12.75">
      <c r="A2101"/>
      <c r="B2101"/>
      <c r="C2101"/>
      <c r="D2101"/>
      <c r="E2101"/>
      <c r="F2101"/>
      <c r="G2101" s="120"/>
      <c r="H2101" s="120"/>
      <c r="I2101"/>
    </row>
    <row r="2102" spans="1:9" ht="12.75">
      <c r="A2102"/>
      <c r="B2102"/>
      <c r="C2102"/>
      <c r="D2102"/>
      <c r="E2102"/>
      <c r="F2102"/>
      <c r="G2102" s="120"/>
      <c r="H2102" s="120"/>
      <c r="I2102"/>
    </row>
    <row r="2103" spans="1:9" ht="12.75">
      <c r="A2103"/>
      <c r="B2103"/>
      <c r="C2103"/>
      <c r="D2103"/>
      <c r="E2103"/>
      <c r="F2103"/>
      <c r="G2103" s="120"/>
      <c r="H2103" s="120"/>
      <c r="I2103"/>
    </row>
    <row r="2104" spans="1:9" ht="12.75">
      <c r="A2104"/>
      <c r="B2104"/>
      <c r="C2104"/>
      <c r="D2104"/>
      <c r="E2104"/>
      <c r="F2104"/>
      <c r="G2104" s="120"/>
      <c r="H2104" s="120"/>
      <c r="I2104"/>
    </row>
    <row r="2105" spans="1:9" ht="12.75">
      <c r="A2105"/>
      <c r="B2105"/>
      <c r="C2105"/>
      <c r="D2105"/>
      <c r="E2105"/>
      <c r="F2105"/>
      <c r="G2105" s="120"/>
      <c r="H2105" s="120"/>
      <c r="I2105"/>
    </row>
    <row r="2106" spans="1:9" ht="12.75">
      <c r="A2106"/>
      <c r="B2106"/>
      <c r="C2106"/>
      <c r="D2106"/>
      <c r="E2106"/>
      <c r="F2106"/>
      <c r="G2106" s="120"/>
      <c r="H2106" s="120"/>
      <c r="I2106"/>
    </row>
    <row r="2107" spans="1:9" ht="12.75">
      <c r="A2107"/>
      <c r="B2107"/>
      <c r="C2107"/>
      <c r="D2107"/>
      <c r="E2107"/>
      <c r="F2107"/>
      <c r="G2107" s="120"/>
      <c r="H2107" s="120"/>
      <c r="I2107"/>
    </row>
    <row r="2108" spans="1:9" ht="12.75">
      <c r="A2108"/>
      <c r="B2108"/>
      <c r="C2108"/>
      <c r="D2108"/>
      <c r="E2108"/>
      <c r="F2108"/>
      <c r="G2108" s="120"/>
      <c r="H2108" s="120"/>
      <c r="I2108"/>
    </row>
    <row r="2109" spans="1:9" ht="12.75">
      <c r="A2109"/>
      <c r="B2109"/>
      <c r="C2109"/>
      <c r="D2109"/>
      <c r="E2109"/>
      <c r="F2109"/>
      <c r="G2109" s="120"/>
      <c r="H2109" s="120"/>
      <c r="I2109"/>
    </row>
    <row r="2110" spans="1:9" ht="12.75">
      <c r="A2110"/>
      <c r="B2110"/>
      <c r="C2110"/>
      <c r="D2110"/>
      <c r="E2110"/>
      <c r="F2110"/>
      <c r="G2110" s="120"/>
      <c r="H2110" s="120"/>
      <c r="I2110"/>
    </row>
    <row r="2111" spans="1:9" ht="12.75">
      <c r="A2111"/>
      <c r="B2111"/>
      <c r="C2111"/>
      <c r="D2111"/>
      <c r="E2111"/>
      <c r="F2111"/>
      <c r="G2111" s="120"/>
      <c r="H2111" s="120"/>
      <c r="I2111"/>
    </row>
    <row r="2112" spans="1:9" ht="12.75">
      <c r="A2112"/>
      <c r="B2112"/>
      <c r="C2112"/>
      <c r="D2112"/>
      <c r="E2112"/>
      <c r="F2112"/>
      <c r="G2112" s="120"/>
      <c r="H2112" s="120"/>
      <c r="I2112"/>
    </row>
    <row r="2113" spans="1:9" ht="12.75">
      <c r="A2113"/>
      <c r="B2113"/>
      <c r="C2113"/>
      <c r="D2113"/>
      <c r="E2113"/>
      <c r="F2113"/>
      <c r="G2113" s="120"/>
      <c r="H2113" s="120"/>
      <c r="I2113"/>
    </row>
    <row r="2114" spans="1:9" ht="12.75">
      <c r="A2114"/>
      <c r="B2114"/>
      <c r="C2114"/>
      <c r="D2114"/>
      <c r="E2114"/>
      <c r="F2114"/>
      <c r="G2114" s="120"/>
      <c r="H2114" s="120"/>
      <c r="I2114"/>
    </row>
    <row r="2115" spans="1:9" ht="12.75">
      <c r="A2115"/>
      <c r="B2115"/>
      <c r="C2115"/>
      <c r="D2115"/>
      <c r="E2115"/>
      <c r="F2115"/>
      <c r="G2115" s="120"/>
      <c r="H2115" s="120"/>
      <c r="I2115"/>
    </row>
    <row r="2116" spans="1:9" ht="12.75">
      <c r="A2116"/>
      <c r="B2116"/>
      <c r="C2116"/>
      <c r="D2116"/>
      <c r="E2116"/>
      <c r="F2116"/>
      <c r="G2116" s="120"/>
      <c r="H2116" s="120"/>
      <c r="I2116"/>
    </row>
    <row r="2117" spans="1:9" ht="12.75">
      <c r="A2117"/>
      <c r="B2117"/>
      <c r="C2117"/>
      <c r="D2117"/>
      <c r="E2117"/>
      <c r="F2117"/>
      <c r="G2117" s="120"/>
      <c r="H2117" s="120"/>
      <c r="I2117"/>
    </row>
    <row r="2118" spans="1:9" ht="12.75">
      <c r="A2118"/>
      <c r="B2118"/>
      <c r="C2118"/>
      <c r="D2118"/>
      <c r="E2118"/>
      <c r="F2118"/>
      <c r="G2118" s="120"/>
      <c r="H2118" s="120"/>
      <c r="I2118"/>
    </row>
    <row r="2119" spans="1:9" ht="12.75">
      <c r="A2119"/>
      <c r="B2119"/>
      <c r="C2119"/>
      <c r="D2119"/>
      <c r="E2119"/>
      <c r="F2119"/>
      <c r="G2119" s="120"/>
      <c r="H2119" s="120"/>
      <c r="I2119"/>
    </row>
    <row r="2120" spans="1:9" ht="12.75">
      <c r="A2120"/>
      <c r="B2120"/>
      <c r="C2120"/>
      <c r="D2120"/>
      <c r="E2120"/>
      <c r="F2120"/>
      <c r="G2120" s="120"/>
      <c r="H2120" s="120"/>
      <c r="I2120"/>
    </row>
    <row r="2121" spans="1:9" ht="12.75">
      <c r="A2121"/>
      <c r="B2121"/>
      <c r="C2121"/>
      <c r="D2121"/>
      <c r="E2121"/>
      <c r="F2121"/>
      <c r="G2121" s="120"/>
      <c r="H2121" s="120"/>
      <c r="I2121"/>
    </row>
    <row r="2122" spans="1:9" ht="12.75">
      <c r="A2122"/>
      <c r="B2122"/>
      <c r="C2122"/>
      <c r="D2122"/>
      <c r="E2122"/>
      <c r="F2122"/>
      <c r="G2122" s="120"/>
      <c r="H2122" s="120"/>
      <c r="I2122"/>
    </row>
    <row r="2123" spans="1:9" ht="12.75">
      <c r="A2123"/>
      <c r="B2123"/>
      <c r="C2123"/>
      <c r="D2123"/>
      <c r="E2123"/>
      <c r="F2123"/>
      <c r="G2123" s="120"/>
      <c r="H2123" s="120"/>
      <c r="I2123"/>
    </row>
    <row r="2124" spans="1:9" ht="12.75">
      <c r="A2124"/>
      <c r="B2124"/>
      <c r="C2124"/>
      <c r="D2124"/>
      <c r="E2124"/>
      <c r="F2124"/>
      <c r="G2124" s="120"/>
      <c r="H2124" s="120"/>
      <c r="I2124"/>
    </row>
    <row r="2125" spans="1:9" ht="12.75">
      <c r="A2125"/>
      <c r="B2125"/>
      <c r="C2125"/>
      <c r="D2125"/>
      <c r="E2125"/>
      <c r="F2125"/>
      <c r="G2125" s="120"/>
      <c r="H2125" s="120"/>
      <c r="I2125"/>
    </row>
    <row r="2126" spans="1:9" ht="12.75">
      <c r="A2126"/>
      <c r="B2126"/>
      <c r="C2126"/>
      <c r="D2126"/>
      <c r="E2126"/>
      <c r="F2126"/>
      <c r="G2126" s="120"/>
      <c r="H2126" s="120"/>
      <c r="I2126"/>
    </row>
    <row r="2127" spans="1:9" ht="12.75">
      <c r="A2127"/>
      <c r="B2127"/>
      <c r="C2127"/>
      <c r="D2127"/>
      <c r="E2127"/>
      <c r="F2127"/>
      <c r="G2127" s="120"/>
      <c r="H2127" s="120"/>
      <c r="I2127"/>
    </row>
    <row r="2128" spans="1:9" ht="12.75">
      <c r="A2128"/>
      <c r="B2128"/>
      <c r="C2128"/>
      <c r="D2128"/>
      <c r="E2128"/>
      <c r="F2128"/>
      <c r="G2128" s="120"/>
      <c r="H2128" s="120"/>
      <c r="I2128"/>
    </row>
    <row r="2129" spans="1:9" ht="12.75">
      <c r="A2129"/>
      <c r="B2129"/>
      <c r="C2129"/>
      <c r="D2129"/>
      <c r="E2129"/>
      <c r="F2129"/>
      <c r="G2129" s="120"/>
      <c r="H2129" s="120"/>
      <c r="I2129"/>
    </row>
    <row r="2130" spans="1:9" ht="12.75">
      <c r="A2130"/>
      <c r="B2130"/>
      <c r="C2130"/>
      <c r="D2130"/>
      <c r="E2130"/>
      <c r="F2130"/>
      <c r="G2130" s="120"/>
      <c r="H2130" s="120"/>
      <c r="I2130"/>
    </row>
    <row r="2131" spans="1:9" ht="12.75">
      <c r="A2131"/>
      <c r="B2131"/>
      <c r="C2131"/>
      <c r="D2131"/>
      <c r="E2131"/>
      <c r="F2131"/>
      <c r="G2131" s="120"/>
      <c r="H2131" s="120"/>
      <c r="I2131"/>
    </row>
    <row r="2132" spans="1:9" ht="12.75">
      <c r="A2132"/>
      <c r="B2132"/>
      <c r="C2132"/>
      <c r="D2132"/>
      <c r="E2132"/>
      <c r="F2132"/>
      <c r="G2132" s="120"/>
      <c r="H2132" s="120"/>
      <c r="I2132"/>
    </row>
    <row r="2133" spans="1:9" ht="12.75">
      <c r="A2133"/>
      <c r="B2133"/>
      <c r="C2133"/>
      <c r="D2133"/>
      <c r="E2133"/>
      <c r="F2133"/>
      <c r="G2133" s="120"/>
      <c r="H2133" s="120"/>
      <c r="I2133"/>
    </row>
    <row r="2134" spans="1:9" ht="12.75">
      <c r="A2134"/>
      <c r="B2134"/>
      <c r="C2134"/>
      <c r="D2134"/>
      <c r="E2134"/>
      <c r="F2134"/>
      <c r="G2134" s="120"/>
      <c r="H2134" s="120"/>
      <c r="I2134"/>
    </row>
    <row r="2135" spans="1:9" ht="12.75">
      <c r="A2135"/>
      <c r="B2135"/>
      <c r="C2135"/>
      <c r="D2135"/>
      <c r="E2135"/>
      <c r="F2135"/>
      <c r="G2135" s="120"/>
      <c r="H2135" s="120"/>
      <c r="I2135"/>
    </row>
    <row r="2136" spans="1:9" ht="12.75">
      <c r="A2136"/>
      <c r="B2136"/>
      <c r="C2136"/>
      <c r="D2136"/>
      <c r="E2136"/>
      <c r="F2136"/>
      <c r="G2136" s="120"/>
      <c r="H2136" s="120"/>
      <c r="I2136"/>
    </row>
    <row r="2137" spans="1:9" ht="12.75">
      <c r="A2137"/>
      <c r="B2137"/>
      <c r="C2137"/>
      <c r="D2137"/>
      <c r="E2137"/>
      <c r="F2137"/>
      <c r="G2137" s="120"/>
      <c r="H2137" s="120"/>
      <c r="I2137"/>
    </row>
    <row r="2138" spans="1:9" ht="12.75">
      <c r="A2138"/>
      <c r="B2138"/>
      <c r="C2138"/>
      <c r="D2138"/>
      <c r="E2138"/>
      <c r="F2138"/>
      <c r="G2138" s="120"/>
      <c r="H2138" s="120"/>
      <c r="I2138"/>
    </row>
    <row r="2139" spans="1:9" ht="12.75">
      <c r="A2139"/>
      <c r="B2139"/>
      <c r="C2139"/>
      <c r="D2139"/>
      <c r="E2139"/>
      <c r="F2139"/>
      <c r="G2139" s="120"/>
      <c r="H2139" s="120"/>
      <c r="I2139"/>
    </row>
    <row r="2140" spans="1:9" ht="12.75">
      <c r="A2140"/>
      <c r="B2140"/>
      <c r="C2140"/>
      <c r="D2140"/>
      <c r="E2140"/>
      <c r="F2140"/>
      <c r="G2140" s="120"/>
      <c r="H2140" s="120"/>
      <c r="I2140"/>
    </row>
    <row r="2141" spans="1:9" ht="12.75">
      <c r="A2141"/>
      <c r="B2141"/>
      <c r="C2141"/>
      <c r="D2141"/>
      <c r="E2141"/>
      <c r="F2141"/>
      <c r="G2141" s="120"/>
      <c r="H2141" s="120"/>
      <c r="I2141"/>
    </row>
    <row r="2142" spans="1:9" ht="12.75">
      <c r="A2142"/>
      <c r="B2142"/>
      <c r="C2142"/>
      <c r="D2142"/>
      <c r="E2142"/>
      <c r="F2142"/>
      <c r="G2142" s="120"/>
      <c r="H2142" s="120"/>
      <c r="I2142"/>
    </row>
    <row r="2143" spans="1:9" ht="12.75">
      <c r="A2143"/>
      <c r="B2143"/>
      <c r="C2143"/>
      <c r="D2143"/>
      <c r="E2143"/>
      <c r="F2143"/>
      <c r="G2143" s="120"/>
      <c r="H2143" s="120"/>
      <c r="I2143"/>
    </row>
    <row r="2144" spans="1:9" ht="12.75">
      <c r="A2144"/>
      <c r="B2144"/>
      <c r="C2144"/>
      <c r="D2144"/>
      <c r="E2144"/>
      <c r="F2144"/>
      <c r="G2144" s="120"/>
      <c r="H2144" s="120"/>
      <c r="I2144"/>
    </row>
    <row r="2145" spans="1:9" ht="12.75">
      <c r="A2145"/>
      <c r="B2145"/>
      <c r="C2145"/>
      <c r="D2145"/>
      <c r="E2145"/>
      <c r="F2145"/>
      <c r="G2145" s="120"/>
      <c r="H2145" s="120"/>
      <c r="I2145"/>
    </row>
    <row r="2146" spans="1:9" ht="12.75">
      <c r="A2146"/>
      <c r="B2146"/>
      <c r="C2146"/>
      <c r="D2146"/>
      <c r="E2146"/>
      <c r="F2146"/>
      <c r="G2146" s="120"/>
      <c r="H2146" s="120"/>
      <c r="I2146"/>
    </row>
    <row r="2147" spans="1:9" ht="12.75">
      <c r="A2147"/>
      <c r="B2147"/>
      <c r="C2147"/>
      <c r="D2147"/>
      <c r="E2147"/>
      <c r="F2147"/>
      <c r="G2147" s="120"/>
      <c r="H2147" s="120"/>
      <c r="I2147"/>
    </row>
    <row r="2148" spans="1:9" ht="12.75">
      <c r="A2148"/>
      <c r="B2148"/>
      <c r="C2148"/>
      <c r="D2148"/>
      <c r="E2148"/>
      <c r="F2148"/>
      <c r="G2148" s="120"/>
      <c r="H2148" s="120"/>
      <c r="I2148"/>
    </row>
    <row r="2149" spans="1:9" ht="12.75">
      <c r="A2149"/>
      <c r="B2149"/>
      <c r="C2149"/>
      <c r="D2149"/>
      <c r="E2149"/>
      <c r="F2149"/>
      <c r="G2149" s="120"/>
      <c r="H2149" s="120"/>
      <c r="I2149"/>
    </row>
    <row r="2150" spans="1:9" ht="12.75">
      <c r="A2150"/>
      <c r="B2150"/>
      <c r="C2150"/>
      <c r="D2150"/>
      <c r="E2150"/>
      <c r="F2150"/>
      <c r="G2150" s="120"/>
      <c r="H2150" s="120"/>
      <c r="I2150"/>
    </row>
    <row r="2151" spans="1:9" ht="12.75">
      <c r="A2151"/>
      <c r="B2151"/>
      <c r="C2151"/>
      <c r="D2151"/>
      <c r="E2151"/>
      <c r="F2151"/>
      <c r="G2151" s="120"/>
      <c r="H2151" s="120"/>
      <c r="I2151"/>
    </row>
    <row r="2152" spans="1:9" ht="12.75">
      <c r="A2152"/>
      <c r="B2152"/>
      <c r="C2152"/>
      <c r="D2152"/>
      <c r="E2152"/>
      <c r="F2152"/>
      <c r="G2152" s="120"/>
      <c r="H2152" s="120"/>
      <c r="I2152"/>
    </row>
    <row r="2153" spans="1:9" ht="12.75">
      <c r="A2153"/>
      <c r="B2153"/>
      <c r="C2153"/>
      <c r="D2153"/>
      <c r="E2153"/>
      <c r="F2153"/>
      <c r="G2153" s="120"/>
      <c r="H2153" s="120"/>
      <c r="I2153"/>
    </row>
    <row r="2154" spans="1:9" ht="12.75">
      <c r="A2154"/>
      <c r="B2154"/>
      <c r="C2154"/>
      <c r="D2154"/>
      <c r="E2154"/>
      <c r="F2154"/>
      <c r="G2154" s="120"/>
      <c r="H2154" s="120"/>
      <c r="I2154"/>
    </row>
    <row r="2155" spans="1:9" ht="12.75">
      <c r="A2155"/>
      <c r="B2155"/>
      <c r="C2155"/>
      <c r="D2155"/>
      <c r="E2155"/>
      <c r="F2155"/>
      <c r="G2155" s="120"/>
      <c r="H2155" s="120"/>
      <c r="I2155"/>
    </row>
    <row r="2156" spans="1:9" ht="12.75">
      <c r="A2156"/>
      <c r="B2156"/>
      <c r="C2156"/>
      <c r="D2156"/>
      <c r="E2156"/>
      <c r="F2156"/>
      <c r="G2156" s="120"/>
      <c r="H2156" s="120"/>
      <c r="I2156"/>
    </row>
    <row r="2157" spans="1:9" ht="12.75">
      <c r="A2157"/>
      <c r="B2157"/>
      <c r="C2157"/>
      <c r="D2157"/>
      <c r="E2157"/>
      <c r="F2157"/>
      <c r="G2157" s="120"/>
      <c r="H2157" s="120"/>
      <c r="I2157"/>
    </row>
    <row r="2158" spans="1:9" ht="12.75">
      <c r="A2158"/>
      <c r="B2158"/>
      <c r="C2158"/>
      <c r="D2158"/>
      <c r="E2158"/>
      <c r="F2158"/>
      <c r="G2158" s="120"/>
      <c r="H2158" s="120"/>
      <c r="I2158"/>
    </row>
    <row r="2159" spans="1:9" ht="12.75">
      <c r="A2159"/>
      <c r="B2159"/>
      <c r="C2159"/>
      <c r="D2159"/>
      <c r="E2159"/>
      <c r="F2159"/>
      <c r="G2159" s="120"/>
      <c r="H2159" s="120"/>
      <c r="I2159"/>
    </row>
    <row r="2160" spans="1:9" ht="12.75">
      <c r="A2160"/>
      <c r="B2160"/>
      <c r="C2160"/>
      <c r="D2160"/>
      <c r="E2160"/>
      <c r="F2160"/>
      <c r="G2160" s="120"/>
      <c r="H2160" s="120"/>
      <c r="I2160"/>
    </row>
    <row r="2161" spans="1:9" ht="12.75">
      <c r="A2161"/>
      <c r="B2161"/>
      <c r="C2161"/>
      <c r="D2161"/>
      <c r="E2161"/>
      <c r="F2161"/>
      <c r="G2161" s="120"/>
      <c r="H2161" s="120"/>
      <c r="I2161"/>
    </row>
    <row r="2162" spans="1:9" ht="12.75">
      <c r="A2162"/>
      <c r="B2162"/>
      <c r="C2162"/>
      <c r="D2162"/>
      <c r="E2162"/>
      <c r="F2162"/>
      <c r="G2162" s="120"/>
      <c r="H2162" s="120"/>
      <c r="I2162"/>
    </row>
    <row r="2163" spans="1:9" ht="12.75">
      <c r="A2163"/>
      <c r="B2163"/>
      <c r="C2163"/>
      <c r="D2163"/>
      <c r="E2163"/>
      <c r="F2163"/>
      <c r="G2163" s="120"/>
      <c r="H2163" s="120"/>
      <c r="I2163"/>
    </row>
    <row r="2164" spans="1:9" ht="12.75">
      <c r="A2164"/>
      <c r="B2164"/>
      <c r="C2164"/>
      <c r="D2164"/>
      <c r="E2164"/>
      <c r="F2164"/>
      <c r="G2164" s="120"/>
      <c r="H2164" s="120"/>
      <c r="I2164"/>
    </row>
    <row r="2165" spans="1:9" ht="12.75">
      <c r="A2165"/>
      <c r="B2165"/>
      <c r="C2165"/>
      <c r="D2165"/>
      <c r="E2165"/>
      <c r="F2165"/>
      <c r="G2165" s="120"/>
      <c r="H2165" s="120"/>
      <c r="I2165"/>
    </row>
    <row r="2166" spans="1:9" ht="12.75">
      <c r="A2166"/>
      <c r="B2166"/>
      <c r="C2166"/>
      <c r="D2166"/>
      <c r="E2166"/>
      <c r="F2166"/>
      <c r="G2166" s="120"/>
      <c r="H2166" s="120"/>
      <c r="I2166"/>
    </row>
    <row r="2167" spans="1:9" ht="12.75">
      <c r="A2167"/>
      <c r="B2167"/>
      <c r="C2167"/>
      <c r="D2167"/>
      <c r="E2167"/>
      <c r="F2167"/>
      <c r="G2167" s="120"/>
      <c r="H2167" s="120"/>
      <c r="I2167"/>
    </row>
    <row r="2168" spans="1:9" ht="12.75">
      <c r="A2168"/>
      <c r="B2168"/>
      <c r="C2168"/>
      <c r="D2168"/>
      <c r="E2168"/>
      <c r="F2168"/>
      <c r="G2168" s="120"/>
      <c r="H2168" s="120"/>
      <c r="I2168"/>
    </row>
    <row r="2169" spans="1:9" ht="12.75">
      <c r="A2169"/>
      <c r="B2169"/>
      <c r="C2169"/>
      <c r="D2169"/>
      <c r="E2169"/>
      <c r="F2169"/>
      <c r="G2169" s="120"/>
      <c r="H2169" s="120"/>
      <c r="I2169"/>
    </row>
    <row r="2170" spans="1:9" ht="12.75">
      <c r="A2170"/>
      <c r="B2170"/>
      <c r="C2170"/>
      <c r="D2170"/>
      <c r="E2170"/>
      <c r="F2170"/>
      <c r="G2170" s="120"/>
      <c r="H2170" s="120"/>
      <c r="I2170"/>
    </row>
    <row r="2171" spans="1:9" ht="12.75">
      <c r="A2171"/>
      <c r="B2171"/>
      <c r="C2171"/>
      <c r="D2171"/>
      <c r="E2171"/>
      <c r="F2171"/>
      <c r="G2171" s="120"/>
      <c r="H2171" s="120"/>
      <c r="I2171"/>
    </row>
    <row r="2172" spans="1:9" ht="12.75">
      <c r="A2172"/>
      <c r="B2172"/>
      <c r="C2172"/>
      <c r="D2172"/>
      <c r="E2172"/>
      <c r="F2172"/>
      <c r="G2172" s="120"/>
      <c r="H2172" s="120"/>
      <c r="I2172"/>
    </row>
    <row r="2173" spans="1:9" ht="12.75">
      <c r="A2173"/>
      <c r="B2173"/>
      <c r="C2173"/>
      <c r="D2173"/>
      <c r="E2173"/>
      <c r="F2173"/>
      <c r="G2173" s="120"/>
      <c r="H2173" s="120"/>
      <c r="I2173"/>
    </row>
    <row r="2174" spans="1:9" ht="12.75">
      <c r="A2174"/>
      <c r="B2174"/>
      <c r="C2174"/>
      <c r="D2174"/>
      <c r="E2174"/>
      <c r="F2174"/>
      <c r="G2174" s="120"/>
      <c r="H2174" s="120"/>
      <c r="I2174"/>
    </row>
    <row r="2175" spans="1:9" ht="12.75">
      <c r="A2175"/>
      <c r="B2175"/>
      <c r="C2175"/>
      <c r="D2175"/>
      <c r="E2175"/>
      <c r="F2175"/>
      <c r="G2175" s="120"/>
      <c r="H2175" s="120"/>
      <c r="I2175"/>
    </row>
    <row r="2176" spans="1:9" ht="12.75">
      <c r="A2176"/>
      <c r="B2176"/>
      <c r="C2176"/>
      <c r="D2176"/>
      <c r="E2176"/>
      <c r="F2176"/>
      <c r="G2176" s="120"/>
      <c r="H2176" s="120"/>
      <c r="I2176"/>
    </row>
    <row r="2177" spans="1:9" ht="12.75">
      <c r="A2177"/>
      <c r="B2177"/>
      <c r="C2177"/>
      <c r="D2177"/>
      <c r="E2177"/>
      <c r="F2177"/>
      <c r="G2177" s="120"/>
      <c r="H2177" s="120"/>
      <c r="I2177"/>
    </row>
    <row r="2178" spans="1:9" ht="12.75">
      <c r="A2178"/>
      <c r="B2178"/>
      <c r="C2178"/>
      <c r="D2178"/>
      <c r="E2178"/>
      <c r="F2178"/>
      <c r="G2178" s="120"/>
      <c r="H2178" s="120"/>
      <c r="I2178"/>
    </row>
    <row r="2179" spans="1:9" ht="12.75">
      <c r="A2179"/>
      <c r="B2179"/>
      <c r="C2179"/>
      <c r="D2179"/>
      <c r="E2179"/>
      <c r="F2179"/>
      <c r="G2179" s="120"/>
      <c r="H2179" s="120"/>
      <c r="I2179"/>
    </row>
    <row r="2180" spans="1:9" ht="12.75">
      <c r="A2180"/>
      <c r="B2180"/>
      <c r="C2180"/>
      <c r="D2180"/>
      <c r="E2180"/>
      <c r="F2180"/>
      <c r="G2180" s="120"/>
      <c r="H2180" s="120"/>
      <c r="I2180"/>
    </row>
    <row r="2181" spans="1:9" ht="12.75">
      <c r="A2181"/>
      <c r="B2181"/>
      <c r="C2181"/>
      <c r="D2181"/>
      <c r="E2181"/>
      <c r="F2181"/>
      <c r="G2181" s="120"/>
      <c r="H2181" s="120"/>
      <c r="I2181"/>
    </row>
    <row r="2182" spans="1:9" ht="12.75">
      <c r="A2182"/>
      <c r="B2182"/>
      <c r="C2182"/>
      <c r="D2182"/>
      <c r="E2182"/>
      <c r="F2182"/>
      <c r="G2182" s="120"/>
      <c r="H2182" s="120"/>
      <c r="I2182"/>
    </row>
    <row r="2183" spans="1:9" ht="12.75">
      <c r="A2183"/>
      <c r="B2183"/>
      <c r="C2183"/>
      <c r="D2183"/>
      <c r="E2183"/>
      <c r="F2183"/>
      <c r="G2183" s="120"/>
      <c r="H2183" s="120"/>
      <c r="I2183"/>
    </row>
    <row r="2184" spans="1:9" ht="12.75">
      <c r="A2184"/>
      <c r="B2184"/>
      <c r="C2184"/>
      <c r="D2184"/>
      <c r="E2184"/>
      <c r="F2184"/>
      <c r="G2184" s="120"/>
      <c r="H2184" s="120"/>
      <c r="I2184"/>
    </row>
    <row r="2185" spans="1:9" ht="12.75">
      <c r="A2185"/>
      <c r="B2185"/>
      <c r="C2185"/>
      <c r="D2185"/>
      <c r="E2185"/>
      <c r="F2185"/>
      <c r="G2185" s="120"/>
      <c r="H2185" s="120"/>
      <c r="I2185"/>
    </row>
    <row r="2186" spans="1:9" ht="12.75">
      <c r="A2186"/>
      <c r="B2186"/>
      <c r="C2186"/>
      <c r="D2186"/>
      <c r="E2186"/>
      <c r="F2186"/>
      <c r="G2186" s="120"/>
      <c r="H2186" s="120"/>
      <c r="I2186"/>
    </row>
    <row r="2187" spans="1:9" ht="12.75">
      <c r="A2187"/>
      <c r="B2187"/>
      <c r="C2187"/>
      <c r="D2187"/>
      <c r="E2187"/>
      <c r="F2187"/>
      <c r="G2187" s="120"/>
      <c r="H2187" s="120"/>
      <c r="I2187"/>
    </row>
    <row r="2188" spans="1:9" ht="12.75">
      <c r="A2188"/>
      <c r="B2188"/>
      <c r="C2188"/>
      <c r="D2188"/>
      <c r="E2188"/>
      <c r="F2188"/>
      <c r="G2188" s="120"/>
      <c r="H2188" s="120"/>
      <c r="I2188"/>
    </row>
    <row r="2189" spans="1:9" ht="12.75">
      <c r="A2189"/>
      <c r="B2189"/>
      <c r="C2189"/>
      <c r="D2189"/>
      <c r="E2189"/>
      <c r="F2189"/>
      <c r="G2189" s="120"/>
      <c r="H2189" s="120"/>
      <c r="I2189"/>
    </row>
    <row r="2190" spans="1:9" ht="12.75">
      <c r="A2190"/>
      <c r="B2190"/>
      <c r="C2190"/>
      <c r="D2190"/>
      <c r="E2190"/>
      <c r="F2190"/>
      <c r="G2190" s="120"/>
      <c r="H2190" s="120"/>
      <c r="I2190"/>
    </row>
    <row r="2191" spans="1:9" ht="12.75">
      <c r="A2191"/>
      <c r="B2191"/>
      <c r="C2191"/>
      <c r="D2191"/>
      <c r="E2191"/>
      <c r="F2191"/>
      <c r="G2191" s="120"/>
      <c r="H2191" s="120"/>
      <c r="I2191"/>
    </row>
    <row r="2192" spans="1:9" ht="12.75">
      <c r="A2192"/>
      <c r="B2192"/>
      <c r="C2192"/>
      <c r="D2192"/>
      <c r="E2192"/>
      <c r="F2192"/>
      <c r="G2192" s="120"/>
      <c r="H2192" s="120"/>
      <c r="I2192"/>
    </row>
    <row r="2193" spans="1:9" ht="12.75">
      <c r="A2193"/>
      <c r="B2193"/>
      <c r="C2193"/>
      <c r="D2193"/>
      <c r="E2193"/>
      <c r="F2193"/>
      <c r="G2193" s="120"/>
      <c r="H2193" s="120"/>
      <c r="I2193"/>
    </row>
    <row r="2194" spans="1:9" ht="12.75">
      <c r="A2194"/>
      <c r="B2194"/>
      <c r="C2194"/>
      <c r="D2194"/>
      <c r="E2194"/>
      <c r="F2194"/>
      <c r="G2194" s="120"/>
      <c r="H2194" s="120"/>
      <c r="I2194"/>
    </row>
    <row r="2195" spans="1:9" ht="12.75">
      <c r="A2195"/>
      <c r="B2195"/>
      <c r="C2195"/>
      <c r="D2195"/>
      <c r="E2195"/>
      <c r="F2195"/>
      <c r="G2195" s="120"/>
      <c r="H2195" s="120"/>
      <c r="I2195"/>
    </row>
    <row r="2196" spans="1:9" ht="12.75">
      <c r="A2196"/>
      <c r="B2196"/>
      <c r="C2196"/>
      <c r="D2196"/>
      <c r="E2196"/>
      <c r="F2196"/>
      <c r="G2196" s="120"/>
      <c r="H2196" s="120"/>
      <c r="I2196"/>
    </row>
    <row r="2197" spans="1:9" ht="12.75">
      <c r="A2197"/>
      <c r="B2197"/>
      <c r="C2197"/>
      <c r="D2197"/>
      <c r="E2197"/>
      <c r="F2197"/>
      <c r="G2197" s="120"/>
      <c r="H2197" s="120"/>
      <c r="I2197"/>
    </row>
    <row r="2198" spans="1:9" ht="12.75">
      <c r="A2198"/>
      <c r="B2198"/>
      <c r="C2198"/>
      <c r="D2198"/>
      <c r="E2198"/>
      <c r="F2198"/>
      <c r="G2198" s="120"/>
      <c r="H2198" s="120"/>
      <c r="I2198"/>
    </row>
    <row r="2199" spans="1:9" ht="12.75">
      <c r="A2199"/>
      <c r="B2199"/>
      <c r="C2199"/>
      <c r="D2199"/>
      <c r="E2199"/>
      <c r="F2199"/>
      <c r="G2199" s="120"/>
      <c r="H2199" s="120"/>
      <c r="I2199"/>
    </row>
    <row r="2200" spans="1:9" ht="12.75">
      <c r="A2200"/>
      <c r="B2200"/>
      <c r="C2200"/>
      <c r="D2200"/>
      <c r="E2200"/>
      <c r="F2200"/>
      <c r="G2200" s="120"/>
      <c r="H2200" s="120"/>
      <c r="I2200"/>
    </row>
    <row r="2201" spans="1:9" ht="12.75">
      <c r="A2201"/>
      <c r="B2201"/>
      <c r="C2201"/>
      <c r="D2201"/>
      <c r="E2201"/>
      <c r="F2201"/>
      <c r="G2201" s="120"/>
      <c r="H2201" s="120"/>
      <c r="I2201"/>
    </row>
    <row r="2202" spans="1:9" ht="12.75">
      <c r="A2202"/>
      <c r="B2202"/>
      <c r="C2202"/>
      <c r="D2202"/>
      <c r="E2202"/>
      <c r="F2202"/>
      <c r="G2202" s="120"/>
      <c r="H2202" s="120"/>
      <c r="I2202"/>
    </row>
    <row r="2203" spans="1:9" ht="12.75">
      <c r="A2203"/>
      <c r="B2203"/>
      <c r="C2203"/>
      <c r="D2203"/>
      <c r="E2203"/>
      <c r="F2203"/>
      <c r="G2203" s="120"/>
      <c r="H2203" s="120"/>
      <c r="I2203"/>
    </row>
    <row r="2204" spans="1:9" ht="12.75">
      <c r="A2204"/>
      <c r="B2204"/>
      <c r="C2204"/>
      <c r="D2204"/>
      <c r="E2204"/>
      <c r="F2204"/>
      <c r="G2204" s="120"/>
      <c r="H2204" s="120"/>
      <c r="I2204"/>
    </row>
    <row r="2205" spans="1:9" ht="12.75">
      <c r="A2205"/>
      <c r="B2205"/>
      <c r="C2205"/>
      <c r="D2205"/>
      <c r="E2205"/>
      <c r="F2205"/>
      <c r="G2205" s="120"/>
      <c r="H2205" s="120"/>
      <c r="I2205"/>
    </row>
    <row r="2206" spans="1:9" ht="12.75">
      <c r="A2206"/>
      <c r="B2206"/>
      <c r="C2206"/>
      <c r="D2206"/>
      <c r="E2206"/>
      <c r="F2206"/>
      <c r="G2206" s="120"/>
      <c r="H2206" s="120"/>
      <c r="I2206"/>
    </row>
    <row r="2207" spans="1:9" ht="12.75">
      <c r="A2207"/>
      <c r="B2207"/>
      <c r="C2207"/>
      <c r="D2207"/>
      <c r="E2207"/>
      <c r="F2207"/>
      <c r="G2207" s="120"/>
      <c r="H2207" s="120"/>
      <c r="I2207"/>
    </row>
    <row r="2208" spans="1:9" ht="12.75">
      <c r="A2208"/>
      <c r="B2208"/>
      <c r="C2208"/>
      <c r="D2208"/>
      <c r="E2208"/>
      <c r="F2208"/>
      <c r="G2208" s="120"/>
      <c r="H2208" s="120"/>
      <c r="I2208"/>
    </row>
    <row r="2209" spans="1:9" ht="12.75">
      <c r="A2209"/>
      <c r="B2209"/>
      <c r="C2209"/>
      <c r="D2209"/>
      <c r="E2209"/>
      <c r="F2209"/>
      <c r="G2209" s="120"/>
      <c r="H2209" s="120"/>
      <c r="I2209"/>
    </row>
    <row r="2210" spans="1:9" ht="12.75">
      <c r="A2210"/>
      <c r="B2210"/>
      <c r="C2210"/>
      <c r="D2210"/>
      <c r="E2210"/>
      <c r="F2210"/>
      <c r="G2210" s="120"/>
      <c r="H2210" s="120"/>
      <c r="I2210"/>
    </row>
    <row r="2211" spans="1:9" ht="12.75">
      <c r="A2211"/>
      <c r="B2211"/>
      <c r="C2211"/>
      <c r="D2211"/>
      <c r="E2211"/>
      <c r="F2211"/>
      <c r="G2211" s="120"/>
      <c r="H2211" s="120"/>
      <c r="I2211"/>
    </row>
    <row r="2212" spans="1:9" ht="12.75">
      <c r="A2212"/>
      <c r="B2212"/>
      <c r="C2212"/>
      <c r="D2212"/>
      <c r="E2212"/>
      <c r="F2212"/>
      <c r="G2212" s="120"/>
      <c r="H2212" s="120"/>
      <c r="I2212"/>
    </row>
    <row r="2213" spans="1:9" ht="12.75">
      <c r="A2213"/>
      <c r="B2213"/>
      <c r="C2213"/>
      <c r="D2213"/>
      <c r="E2213"/>
      <c r="F2213"/>
      <c r="G2213" s="120"/>
      <c r="H2213" s="120"/>
      <c r="I2213"/>
    </row>
    <row r="2214" spans="1:9" ht="12.75">
      <c r="A2214"/>
      <c r="B2214"/>
      <c r="C2214"/>
      <c r="D2214"/>
      <c r="E2214"/>
      <c r="F2214"/>
      <c r="G2214" s="120"/>
      <c r="H2214" s="120"/>
      <c r="I2214"/>
    </row>
    <row r="2215" spans="1:9" ht="12.75">
      <c r="A2215"/>
      <c r="B2215"/>
      <c r="C2215"/>
      <c r="D2215"/>
      <c r="E2215"/>
      <c r="F2215"/>
      <c r="G2215" s="120"/>
      <c r="H2215" s="120"/>
      <c r="I2215"/>
    </row>
    <row r="2216" spans="1:9" ht="12.75">
      <c r="A2216"/>
      <c r="B2216"/>
      <c r="C2216"/>
      <c r="D2216"/>
      <c r="E2216"/>
      <c r="F2216"/>
      <c r="G2216" s="120"/>
      <c r="H2216" s="120"/>
      <c r="I2216"/>
    </row>
    <row r="2217" spans="1:9" ht="12.75">
      <c r="A2217"/>
      <c r="B2217"/>
      <c r="C2217"/>
      <c r="D2217"/>
      <c r="E2217"/>
      <c r="F2217"/>
      <c r="G2217" s="120"/>
      <c r="H2217" s="120"/>
      <c r="I2217"/>
    </row>
    <row r="2218" spans="1:9" ht="12.75">
      <c r="A2218"/>
      <c r="B2218"/>
      <c r="C2218"/>
      <c r="D2218"/>
      <c r="E2218"/>
      <c r="F2218"/>
      <c r="G2218" s="120"/>
      <c r="H2218" s="120"/>
      <c r="I2218"/>
    </row>
    <row r="2219" spans="1:9" ht="12.75">
      <c r="A2219"/>
      <c r="B2219"/>
      <c r="C2219"/>
      <c r="D2219"/>
      <c r="E2219"/>
      <c r="F2219"/>
      <c r="G2219" s="120"/>
      <c r="H2219" s="120"/>
      <c r="I2219"/>
    </row>
    <row r="2220" spans="1:9" ht="12.75">
      <c r="A2220"/>
      <c r="B2220"/>
      <c r="C2220"/>
      <c r="D2220"/>
      <c r="E2220"/>
      <c r="F2220"/>
      <c r="G2220" s="120"/>
      <c r="H2220" s="120"/>
      <c r="I2220"/>
    </row>
    <row r="2221" spans="1:9" ht="12.75">
      <c r="A2221"/>
      <c r="B2221"/>
      <c r="C2221"/>
      <c r="D2221"/>
      <c r="E2221"/>
      <c r="F2221"/>
      <c r="G2221" s="120"/>
      <c r="H2221" s="120"/>
      <c r="I2221"/>
    </row>
    <row r="2222" spans="1:9" ht="12.75">
      <c r="A2222"/>
      <c r="B2222"/>
      <c r="C2222"/>
      <c r="D2222"/>
      <c r="E2222"/>
      <c r="F2222"/>
      <c r="G2222" s="120"/>
      <c r="H2222" s="120"/>
      <c r="I2222"/>
    </row>
    <row r="2223" spans="1:9" ht="12.75">
      <c r="A2223"/>
      <c r="B2223"/>
      <c r="C2223"/>
      <c r="D2223"/>
      <c r="E2223"/>
      <c r="F2223"/>
      <c r="G2223" s="120"/>
      <c r="H2223" s="120"/>
      <c r="I2223"/>
    </row>
    <row r="2224" spans="1:9" ht="12.75">
      <c r="A2224"/>
      <c r="B2224"/>
      <c r="C2224"/>
      <c r="D2224"/>
      <c r="E2224"/>
      <c r="F2224"/>
      <c r="G2224" s="120"/>
      <c r="H2224" s="120"/>
      <c r="I2224"/>
    </row>
    <row r="2225" spans="1:9" ht="12.75">
      <c r="A2225"/>
      <c r="B2225"/>
      <c r="C2225"/>
      <c r="D2225"/>
      <c r="E2225"/>
      <c r="F2225"/>
      <c r="G2225" s="120"/>
      <c r="H2225" s="120"/>
      <c r="I2225"/>
    </row>
    <row r="2226" spans="1:9" ht="12.75">
      <c r="A2226"/>
      <c r="B2226"/>
      <c r="C2226"/>
      <c r="D2226"/>
      <c r="E2226"/>
      <c r="F2226"/>
      <c r="G2226" s="120"/>
      <c r="H2226" s="120"/>
      <c r="I2226"/>
    </row>
    <row r="2227" spans="1:9" ht="12.75">
      <c r="A2227"/>
      <c r="B2227"/>
      <c r="C2227"/>
      <c r="D2227"/>
      <c r="E2227"/>
      <c r="F2227"/>
      <c r="G2227" s="120"/>
      <c r="H2227" s="120"/>
      <c r="I2227"/>
    </row>
    <row r="2228" spans="1:9" ht="12.75">
      <c r="A2228"/>
      <c r="B2228"/>
      <c r="C2228"/>
      <c r="D2228"/>
      <c r="E2228"/>
      <c r="F2228"/>
      <c r="G2228" s="120"/>
      <c r="H2228" s="120"/>
      <c r="I2228"/>
    </row>
    <row r="2229" spans="1:9" ht="12.75">
      <c r="A2229"/>
      <c r="B2229"/>
      <c r="C2229"/>
      <c r="D2229"/>
      <c r="E2229"/>
      <c r="F2229"/>
      <c r="G2229" s="120"/>
      <c r="H2229" s="120"/>
      <c r="I2229"/>
    </row>
    <row r="2230" spans="1:9" ht="12.75">
      <c r="A2230"/>
      <c r="B2230"/>
      <c r="C2230"/>
      <c r="D2230"/>
      <c r="E2230"/>
      <c r="F2230"/>
      <c r="G2230" s="120"/>
      <c r="H2230" s="120"/>
      <c r="I2230"/>
    </row>
    <row r="2231" spans="1:9" ht="12.75">
      <c r="A2231"/>
      <c r="B2231"/>
      <c r="C2231"/>
      <c r="D2231"/>
      <c r="E2231"/>
      <c r="F2231"/>
      <c r="G2231" s="120"/>
      <c r="H2231" s="120"/>
      <c r="I2231"/>
    </row>
    <row r="2232" spans="1:9" ht="12.75">
      <c r="A2232"/>
      <c r="B2232"/>
      <c r="C2232"/>
      <c r="D2232"/>
      <c r="E2232"/>
      <c r="F2232"/>
      <c r="G2232" s="120"/>
      <c r="H2232" s="120"/>
      <c r="I2232"/>
    </row>
    <row r="2233" spans="1:9" ht="12.75">
      <c r="A2233"/>
      <c r="B2233"/>
      <c r="C2233"/>
      <c r="D2233"/>
      <c r="E2233"/>
      <c r="F2233"/>
      <c r="G2233" s="120"/>
      <c r="H2233" s="120"/>
      <c r="I2233"/>
    </row>
    <row r="2234" spans="1:9" ht="12.75">
      <c r="A2234"/>
      <c r="B2234"/>
      <c r="C2234"/>
      <c r="D2234"/>
      <c r="E2234"/>
      <c r="F2234"/>
      <c r="G2234" s="120"/>
      <c r="H2234" s="120"/>
      <c r="I2234"/>
    </row>
    <row r="2235" spans="1:9" ht="12.75">
      <c r="A2235"/>
      <c r="B2235"/>
      <c r="C2235"/>
      <c r="D2235"/>
      <c r="E2235"/>
      <c r="F2235"/>
      <c r="G2235" s="120"/>
      <c r="H2235" s="120"/>
      <c r="I2235"/>
    </row>
    <row r="2236" spans="1:9" ht="12.75">
      <c r="A2236"/>
      <c r="B2236"/>
      <c r="C2236"/>
      <c r="D2236"/>
      <c r="E2236"/>
      <c r="F2236"/>
      <c r="G2236" s="120"/>
      <c r="H2236" s="120"/>
      <c r="I2236"/>
    </row>
    <row r="2237" spans="1:9" ht="12.75">
      <c r="A2237"/>
      <c r="B2237"/>
      <c r="C2237"/>
      <c r="D2237"/>
      <c r="E2237"/>
      <c r="F2237"/>
      <c r="G2237" s="120"/>
      <c r="H2237" s="120"/>
      <c r="I2237"/>
    </row>
    <row r="2238" spans="1:9" ht="12.75">
      <c r="A2238"/>
      <c r="B2238"/>
      <c r="C2238"/>
      <c r="D2238"/>
      <c r="E2238"/>
      <c r="F2238"/>
      <c r="G2238" s="120"/>
      <c r="H2238" s="120"/>
      <c r="I2238"/>
    </row>
    <row r="2239" spans="1:9" ht="12.75">
      <c r="A2239"/>
      <c r="B2239"/>
      <c r="C2239"/>
      <c r="D2239"/>
      <c r="E2239"/>
      <c r="F2239"/>
      <c r="G2239" s="120"/>
      <c r="H2239" s="120"/>
      <c r="I2239"/>
    </row>
    <row r="2240" spans="1:9" ht="12.75">
      <c r="A2240"/>
      <c r="B2240"/>
      <c r="C2240"/>
      <c r="D2240"/>
      <c r="E2240"/>
      <c r="F2240"/>
      <c r="G2240" s="120"/>
      <c r="H2240" s="120"/>
      <c r="I2240"/>
    </row>
    <row r="2241" spans="1:9" ht="12.75">
      <c r="A2241"/>
      <c r="B2241"/>
      <c r="C2241"/>
      <c r="D2241"/>
      <c r="E2241"/>
      <c r="F2241"/>
      <c r="G2241" s="120"/>
      <c r="H2241" s="120"/>
      <c r="I2241"/>
    </row>
    <row r="2242" spans="1:9" ht="12.75">
      <c r="A2242"/>
      <c r="B2242"/>
      <c r="C2242"/>
      <c r="D2242"/>
      <c r="E2242"/>
      <c r="F2242"/>
      <c r="G2242" s="120"/>
      <c r="H2242" s="120"/>
      <c r="I2242"/>
    </row>
    <row r="2243" spans="1:9" ht="12.75">
      <c r="A2243"/>
      <c r="B2243"/>
      <c r="C2243"/>
      <c r="D2243"/>
      <c r="E2243"/>
      <c r="F2243"/>
      <c r="G2243" s="120"/>
      <c r="H2243" s="120"/>
      <c r="I2243"/>
    </row>
    <row r="2244" spans="1:9" ht="12.75">
      <c r="A2244"/>
      <c r="B2244"/>
      <c r="C2244"/>
      <c r="D2244"/>
      <c r="E2244"/>
      <c r="F2244"/>
      <c r="G2244" s="120"/>
      <c r="H2244" s="120"/>
      <c r="I2244"/>
    </row>
    <row r="2245" spans="1:9" ht="12.75">
      <c r="A2245"/>
      <c r="B2245"/>
      <c r="C2245"/>
      <c r="D2245"/>
      <c r="E2245"/>
      <c r="F2245"/>
      <c r="G2245" s="120"/>
      <c r="H2245" s="120"/>
      <c r="I2245"/>
    </row>
    <row r="2246" spans="1:9" ht="12.75">
      <c r="A2246"/>
      <c r="B2246"/>
      <c r="C2246"/>
      <c r="D2246"/>
      <c r="E2246"/>
      <c r="F2246"/>
      <c r="G2246" s="120"/>
      <c r="H2246" s="120"/>
      <c r="I2246"/>
    </row>
    <row r="2247" spans="1:9" ht="12.75">
      <c r="A2247"/>
      <c r="B2247"/>
      <c r="C2247"/>
      <c r="D2247"/>
      <c r="E2247"/>
      <c r="F2247"/>
      <c r="G2247" s="120"/>
      <c r="H2247" s="120"/>
      <c r="I2247"/>
    </row>
    <row r="2248" spans="1:9" ht="12.75">
      <c r="A2248"/>
      <c r="B2248"/>
      <c r="C2248"/>
      <c r="D2248"/>
      <c r="E2248"/>
      <c r="F2248"/>
      <c r="G2248" s="120"/>
      <c r="H2248" s="120"/>
      <c r="I2248"/>
    </row>
    <row r="2249" spans="1:9" ht="12.75">
      <c r="A2249"/>
      <c r="B2249"/>
      <c r="C2249"/>
      <c r="D2249"/>
      <c r="E2249"/>
      <c r="F2249"/>
      <c r="G2249" s="120"/>
      <c r="H2249" s="120"/>
      <c r="I2249"/>
    </row>
    <row r="2250" spans="1:9" ht="12.75">
      <c r="A2250"/>
      <c r="B2250"/>
      <c r="C2250"/>
      <c r="D2250"/>
      <c r="E2250"/>
      <c r="F2250"/>
      <c r="G2250" s="120"/>
      <c r="H2250" s="120"/>
      <c r="I2250"/>
    </row>
    <row r="2251" spans="1:9" ht="12.75">
      <c r="A2251"/>
      <c r="B2251"/>
      <c r="C2251"/>
      <c r="D2251"/>
      <c r="E2251"/>
      <c r="F2251"/>
      <c r="G2251" s="120"/>
      <c r="H2251" s="120"/>
      <c r="I2251"/>
    </row>
    <row r="2252" spans="1:9" ht="12.75">
      <c r="A2252"/>
      <c r="B2252"/>
      <c r="C2252"/>
      <c r="D2252"/>
      <c r="E2252"/>
      <c r="F2252"/>
      <c r="G2252" s="120"/>
      <c r="H2252" s="120"/>
      <c r="I2252"/>
    </row>
    <row r="2253" spans="1:9" ht="12.75">
      <c r="A2253"/>
      <c r="B2253"/>
      <c r="C2253"/>
      <c r="D2253"/>
      <c r="E2253"/>
      <c r="F2253"/>
      <c r="G2253" s="120"/>
      <c r="H2253" s="120"/>
      <c r="I2253"/>
    </row>
    <row r="2254" spans="1:9" ht="12.75">
      <c r="A2254"/>
      <c r="B2254"/>
      <c r="C2254"/>
      <c r="D2254"/>
      <c r="E2254"/>
      <c r="F2254"/>
      <c r="G2254" s="120"/>
      <c r="H2254" s="120"/>
      <c r="I2254"/>
    </row>
    <row r="2255" spans="1:9" ht="12.75">
      <c r="A2255"/>
      <c r="B2255"/>
      <c r="C2255"/>
      <c r="D2255"/>
      <c r="E2255"/>
      <c r="F2255"/>
      <c r="G2255" s="120"/>
      <c r="H2255" s="120"/>
      <c r="I2255"/>
    </row>
    <row r="2256" spans="1:9" ht="12.75">
      <c r="A2256"/>
      <c r="B2256"/>
      <c r="C2256"/>
      <c r="D2256"/>
      <c r="E2256"/>
      <c r="F2256"/>
      <c r="G2256" s="120"/>
      <c r="H2256" s="120"/>
      <c r="I2256"/>
    </row>
    <row r="2257" spans="1:9" ht="12.75">
      <c r="A2257"/>
      <c r="B2257"/>
      <c r="C2257"/>
      <c r="D2257"/>
      <c r="E2257"/>
      <c r="F2257"/>
      <c r="G2257" s="120"/>
      <c r="H2257" s="120"/>
      <c r="I2257"/>
    </row>
    <row r="2258" spans="1:9" ht="12.75">
      <c r="A2258"/>
      <c r="B2258"/>
      <c r="C2258"/>
      <c r="D2258"/>
      <c r="E2258"/>
      <c r="F2258"/>
      <c r="G2258" s="120"/>
      <c r="H2258" s="120"/>
      <c r="I2258"/>
    </row>
    <row r="2259" spans="1:9" ht="12.75">
      <c r="A2259"/>
      <c r="B2259"/>
      <c r="C2259"/>
      <c r="D2259"/>
      <c r="E2259"/>
      <c r="F2259"/>
      <c r="G2259" s="120"/>
      <c r="H2259" s="120"/>
      <c r="I2259"/>
    </row>
    <row r="2260" spans="1:9" ht="12.75">
      <c r="A2260"/>
      <c r="B2260"/>
      <c r="C2260"/>
      <c r="D2260"/>
      <c r="E2260"/>
      <c r="F2260"/>
      <c r="G2260" s="120"/>
      <c r="H2260" s="120"/>
      <c r="I2260"/>
    </row>
    <row r="2261" spans="1:9" ht="12.75">
      <c r="A2261"/>
      <c r="B2261"/>
      <c r="C2261"/>
      <c r="D2261"/>
      <c r="E2261"/>
      <c r="F2261"/>
      <c r="G2261" s="120"/>
      <c r="H2261" s="120"/>
      <c r="I2261"/>
    </row>
    <row r="2262" spans="1:9" ht="12.75">
      <c r="A2262"/>
      <c r="B2262"/>
      <c r="C2262"/>
      <c r="D2262"/>
      <c r="E2262"/>
      <c r="F2262"/>
      <c r="G2262" s="120"/>
      <c r="H2262" s="120"/>
      <c r="I2262"/>
    </row>
    <row r="2263" spans="1:9" ht="12.75">
      <c r="A2263"/>
      <c r="B2263"/>
      <c r="C2263"/>
      <c r="D2263"/>
      <c r="E2263"/>
      <c r="F2263"/>
      <c r="G2263" s="120"/>
      <c r="H2263" s="120"/>
      <c r="I2263"/>
    </row>
    <row r="2264" spans="1:9" ht="12.75">
      <c r="A2264"/>
      <c r="B2264"/>
      <c r="C2264"/>
      <c r="D2264"/>
      <c r="E2264"/>
      <c r="F2264"/>
      <c r="G2264" s="120"/>
      <c r="H2264" s="120"/>
      <c r="I2264"/>
    </row>
    <row r="2265" spans="1:9" ht="12.75">
      <c r="A2265"/>
      <c r="B2265"/>
      <c r="C2265"/>
      <c r="D2265"/>
      <c r="E2265"/>
      <c r="F2265"/>
      <c r="G2265" s="120"/>
      <c r="H2265" s="120"/>
      <c r="I2265"/>
    </row>
    <row r="2266" spans="1:9" ht="12.75">
      <c r="A2266"/>
      <c r="B2266"/>
      <c r="C2266"/>
      <c r="D2266"/>
      <c r="E2266"/>
      <c r="F2266"/>
      <c r="G2266" s="120"/>
      <c r="H2266" s="120"/>
      <c r="I2266"/>
    </row>
    <row r="2267" spans="1:9" ht="12.75">
      <c r="A2267"/>
      <c r="B2267"/>
      <c r="C2267"/>
      <c r="D2267"/>
      <c r="E2267"/>
      <c r="F2267"/>
      <c r="G2267" s="120"/>
      <c r="H2267" s="120"/>
      <c r="I2267"/>
    </row>
    <row r="2268" spans="1:9" ht="12.75">
      <c r="A2268"/>
      <c r="B2268"/>
      <c r="C2268"/>
      <c r="D2268"/>
      <c r="E2268"/>
      <c r="F2268"/>
      <c r="G2268" s="120"/>
      <c r="H2268" s="120"/>
      <c r="I2268"/>
    </row>
    <row r="2269" spans="1:9" ht="12.75">
      <c r="A2269"/>
      <c r="B2269"/>
      <c r="C2269"/>
      <c r="D2269"/>
      <c r="E2269"/>
      <c r="F2269"/>
      <c r="G2269" s="120"/>
      <c r="H2269" s="120"/>
      <c r="I2269"/>
    </row>
    <row r="2270" spans="1:9" ht="12.75">
      <c r="A2270"/>
      <c r="B2270"/>
      <c r="C2270"/>
      <c r="D2270"/>
      <c r="E2270"/>
      <c r="F2270"/>
      <c r="G2270" s="120"/>
      <c r="H2270" s="120"/>
      <c r="I2270"/>
    </row>
    <row r="2271" spans="1:9" ht="12.75">
      <c r="A2271"/>
      <c r="B2271"/>
      <c r="C2271"/>
      <c r="D2271"/>
      <c r="E2271"/>
      <c r="F2271"/>
      <c r="G2271" s="120"/>
      <c r="H2271" s="120"/>
      <c r="I2271"/>
    </row>
    <row r="2272" spans="1:9" ht="12.75">
      <c r="A2272"/>
      <c r="B2272"/>
      <c r="C2272"/>
      <c r="D2272"/>
      <c r="E2272"/>
      <c r="F2272"/>
      <c r="G2272" s="120"/>
      <c r="H2272" s="120"/>
      <c r="I2272"/>
    </row>
    <row r="2273" spans="1:9" ht="12.75">
      <c r="A2273"/>
      <c r="B2273"/>
      <c r="C2273"/>
      <c r="D2273"/>
      <c r="E2273"/>
      <c r="F2273"/>
      <c r="G2273" s="120"/>
      <c r="H2273" s="120"/>
      <c r="I2273"/>
    </row>
    <row r="2274" spans="1:9" ht="12.75">
      <c r="A2274"/>
      <c r="B2274"/>
      <c r="C2274"/>
      <c r="D2274"/>
      <c r="E2274"/>
      <c r="F2274"/>
      <c r="G2274" s="120"/>
      <c r="H2274" s="120"/>
      <c r="I2274"/>
    </row>
    <row r="2275" spans="1:9" ht="12.75">
      <c r="A2275"/>
      <c r="B2275"/>
      <c r="C2275"/>
      <c r="D2275"/>
      <c r="E2275"/>
      <c r="F2275"/>
      <c r="G2275" s="120"/>
      <c r="H2275" s="120"/>
      <c r="I2275"/>
    </row>
    <row r="2276" spans="1:9" ht="12.75">
      <c r="A2276"/>
      <c r="B2276"/>
      <c r="C2276"/>
      <c r="D2276"/>
      <c r="E2276"/>
      <c r="F2276"/>
      <c r="G2276" s="120"/>
      <c r="H2276" s="120"/>
      <c r="I2276"/>
    </row>
    <row r="2277" spans="1:9" ht="12.75">
      <c r="A2277"/>
      <c r="B2277"/>
      <c r="C2277"/>
      <c r="D2277"/>
      <c r="E2277"/>
      <c r="F2277"/>
      <c r="G2277" s="120"/>
      <c r="H2277" s="120"/>
      <c r="I2277"/>
    </row>
    <row r="2278" spans="1:9" ht="12.75">
      <c r="A2278"/>
      <c r="B2278"/>
      <c r="C2278"/>
      <c r="D2278"/>
      <c r="E2278"/>
      <c r="F2278"/>
      <c r="G2278" s="120"/>
      <c r="H2278" s="120"/>
      <c r="I2278"/>
    </row>
    <row r="2279" spans="1:9" ht="12.75">
      <c r="A2279"/>
      <c r="B2279"/>
      <c r="C2279"/>
      <c r="D2279"/>
      <c r="E2279"/>
      <c r="F2279"/>
      <c r="G2279" s="120"/>
      <c r="H2279" s="120"/>
      <c r="I2279"/>
    </row>
    <row r="2280" spans="1:9" ht="12.75">
      <c r="A2280"/>
      <c r="B2280"/>
      <c r="C2280"/>
      <c r="D2280"/>
      <c r="E2280"/>
      <c r="F2280"/>
      <c r="G2280" s="120"/>
      <c r="H2280" s="120"/>
      <c r="I2280"/>
    </row>
    <row r="2281" spans="1:9" ht="12.75">
      <c r="A2281"/>
      <c r="B2281"/>
      <c r="C2281"/>
      <c r="D2281"/>
      <c r="E2281"/>
      <c r="F2281"/>
      <c r="G2281" s="120"/>
      <c r="H2281" s="120"/>
      <c r="I2281"/>
    </row>
    <row r="2282" spans="1:9" ht="12.75">
      <c r="A2282"/>
      <c r="B2282"/>
      <c r="C2282"/>
      <c r="D2282"/>
      <c r="E2282"/>
      <c r="F2282"/>
      <c r="G2282" s="120"/>
      <c r="H2282" s="120"/>
      <c r="I2282"/>
    </row>
    <row r="2283" spans="1:9" ht="12.75">
      <c r="A2283"/>
      <c r="B2283"/>
      <c r="C2283"/>
      <c r="D2283"/>
      <c r="E2283"/>
      <c r="F2283"/>
      <c r="G2283" s="120"/>
      <c r="H2283" s="120"/>
      <c r="I2283"/>
    </row>
    <row r="2284" spans="1:9" ht="12.75">
      <c r="A2284"/>
      <c r="B2284"/>
      <c r="C2284"/>
      <c r="D2284"/>
      <c r="E2284"/>
      <c r="F2284"/>
      <c r="G2284" s="120"/>
      <c r="H2284" s="120"/>
      <c r="I2284"/>
    </row>
    <row r="2285" spans="1:9" ht="12.75">
      <c r="A2285"/>
      <c r="B2285"/>
      <c r="C2285"/>
      <c r="D2285"/>
      <c r="E2285"/>
      <c r="F2285"/>
      <c r="G2285" s="120"/>
      <c r="H2285" s="120"/>
      <c r="I2285"/>
    </row>
    <row r="2286" spans="1:9" ht="12.75">
      <c r="A2286"/>
      <c r="B2286"/>
      <c r="C2286"/>
      <c r="D2286"/>
      <c r="E2286"/>
      <c r="F2286"/>
      <c r="G2286" s="120"/>
      <c r="H2286" s="120"/>
      <c r="I2286"/>
    </row>
    <row r="2287" spans="1:9" ht="12.75">
      <c r="A2287"/>
      <c r="B2287"/>
      <c r="C2287"/>
      <c r="D2287"/>
      <c r="E2287"/>
      <c r="F2287"/>
      <c r="G2287" s="120"/>
      <c r="H2287" s="120"/>
      <c r="I2287"/>
    </row>
    <row r="2288" spans="1:9" ht="12.75">
      <c r="A2288"/>
      <c r="B2288"/>
      <c r="C2288"/>
      <c r="D2288"/>
      <c r="E2288"/>
      <c r="F2288"/>
      <c r="G2288" s="120"/>
      <c r="H2288" s="120"/>
      <c r="I2288"/>
    </row>
    <row r="2289" spans="1:9" ht="12.75">
      <c r="A2289"/>
      <c r="B2289"/>
      <c r="C2289"/>
      <c r="D2289"/>
      <c r="E2289"/>
      <c r="F2289"/>
      <c r="G2289" s="120"/>
      <c r="H2289" s="120"/>
      <c r="I2289"/>
    </row>
    <row r="2290" spans="1:9" ht="12.75">
      <c r="A2290"/>
      <c r="B2290"/>
      <c r="C2290"/>
      <c r="D2290"/>
      <c r="E2290"/>
      <c r="F2290"/>
      <c r="G2290" s="120"/>
      <c r="H2290" s="120"/>
      <c r="I2290"/>
    </row>
    <row r="2291" spans="1:9" ht="12.75">
      <c r="A2291"/>
      <c r="B2291"/>
      <c r="C2291"/>
      <c r="D2291"/>
      <c r="E2291"/>
      <c r="F2291"/>
      <c r="G2291" s="120"/>
      <c r="H2291" s="120"/>
      <c r="I2291"/>
    </row>
    <row r="2292" spans="1:9" ht="12.75">
      <c r="A2292"/>
      <c r="B2292"/>
      <c r="C2292"/>
      <c r="D2292"/>
      <c r="E2292"/>
      <c r="F2292"/>
      <c r="G2292" s="120"/>
      <c r="H2292" s="120"/>
      <c r="I2292"/>
    </row>
    <row r="2293" spans="1:9" ht="12.75">
      <c r="A2293"/>
      <c r="B2293"/>
      <c r="C2293"/>
      <c r="D2293"/>
      <c r="E2293"/>
      <c r="F2293"/>
      <c r="G2293" s="120"/>
      <c r="H2293" s="120"/>
      <c r="I2293"/>
    </row>
    <row r="2294" spans="1:9" ht="12.75">
      <c r="A2294"/>
      <c r="B2294"/>
      <c r="C2294"/>
      <c r="D2294"/>
      <c r="E2294"/>
      <c r="F2294"/>
      <c r="G2294" s="120"/>
      <c r="H2294" s="120"/>
      <c r="I2294"/>
    </row>
    <row r="2295" spans="1:9" ht="12.75">
      <c r="A2295"/>
      <c r="B2295"/>
      <c r="C2295"/>
      <c r="D2295"/>
      <c r="E2295"/>
      <c r="F2295"/>
      <c r="G2295" s="120"/>
      <c r="H2295" s="120"/>
      <c r="I2295"/>
    </row>
    <row r="2296" spans="1:9" ht="12.75">
      <c r="A2296"/>
      <c r="B2296"/>
      <c r="C2296"/>
      <c r="D2296"/>
      <c r="E2296"/>
      <c r="F2296"/>
      <c r="G2296" s="120"/>
      <c r="H2296" s="120"/>
      <c r="I2296"/>
    </row>
    <row r="2297" spans="1:9" ht="12.75">
      <c r="A2297"/>
      <c r="B2297"/>
      <c r="C2297"/>
      <c r="D2297"/>
      <c r="E2297"/>
      <c r="F2297"/>
      <c r="G2297" s="120"/>
      <c r="H2297" s="120"/>
      <c r="I2297"/>
    </row>
    <row r="2298" spans="1:9" ht="12.75">
      <c r="A2298"/>
      <c r="B2298"/>
      <c r="C2298"/>
      <c r="D2298"/>
      <c r="E2298"/>
      <c r="F2298"/>
      <c r="G2298" s="120"/>
      <c r="H2298" s="120"/>
      <c r="I2298"/>
    </row>
    <row r="2299" spans="1:9" ht="12.75">
      <c r="A2299"/>
      <c r="B2299"/>
      <c r="C2299"/>
      <c r="D2299"/>
      <c r="E2299"/>
      <c r="F2299"/>
      <c r="G2299" s="120"/>
      <c r="H2299" s="120"/>
      <c r="I2299"/>
    </row>
    <row r="2300" spans="1:9" ht="12.75">
      <c r="A2300"/>
      <c r="B2300"/>
      <c r="C2300"/>
      <c r="D2300"/>
      <c r="E2300"/>
      <c r="F2300"/>
      <c r="G2300" s="120"/>
      <c r="H2300" s="120"/>
      <c r="I2300"/>
    </row>
    <row r="2301" spans="1:9" ht="12.75">
      <c r="A2301"/>
      <c r="B2301"/>
      <c r="C2301"/>
      <c r="D2301"/>
      <c r="E2301"/>
      <c r="F2301"/>
      <c r="G2301" s="120"/>
      <c r="H2301" s="120"/>
      <c r="I2301"/>
    </row>
    <row r="2302" spans="1:9" ht="12.75">
      <c r="A2302"/>
      <c r="B2302"/>
      <c r="C2302"/>
      <c r="D2302"/>
      <c r="E2302"/>
      <c r="F2302"/>
      <c r="G2302" s="120"/>
      <c r="H2302" s="120"/>
      <c r="I2302"/>
    </row>
    <row r="2303" spans="1:9" ht="12.75">
      <c r="A2303"/>
      <c r="B2303"/>
      <c r="C2303"/>
      <c r="D2303"/>
      <c r="E2303"/>
      <c r="F2303"/>
      <c r="G2303" s="120"/>
      <c r="H2303" s="120"/>
      <c r="I2303"/>
    </row>
    <row r="2304" spans="1:9" ht="12.75">
      <c r="A2304"/>
      <c r="B2304"/>
      <c r="C2304"/>
      <c r="D2304"/>
      <c r="E2304"/>
      <c r="F2304"/>
      <c r="G2304" s="120"/>
      <c r="H2304" s="120"/>
      <c r="I2304"/>
    </row>
    <row r="2305" spans="1:9" ht="12.75">
      <c r="A2305"/>
      <c r="B2305"/>
      <c r="C2305"/>
      <c r="D2305"/>
      <c r="E2305"/>
      <c r="F2305"/>
      <c r="G2305" s="120"/>
      <c r="H2305" s="120"/>
      <c r="I2305"/>
    </row>
    <row r="2306" spans="1:9" ht="12.75">
      <c r="A2306"/>
      <c r="B2306"/>
      <c r="C2306"/>
      <c r="D2306"/>
      <c r="E2306"/>
      <c r="F2306"/>
      <c r="G2306" s="120"/>
      <c r="H2306" s="120"/>
      <c r="I2306"/>
    </row>
    <row r="2307" spans="1:9" ht="12.75">
      <c r="A2307"/>
      <c r="B2307"/>
      <c r="C2307"/>
      <c r="D2307"/>
      <c r="E2307"/>
      <c r="F2307"/>
      <c r="G2307" s="120"/>
      <c r="H2307" s="120"/>
      <c r="I2307"/>
    </row>
    <row r="2308" spans="1:9" ht="12.75">
      <c r="A2308"/>
      <c r="B2308"/>
      <c r="C2308"/>
      <c r="D2308"/>
      <c r="E2308"/>
      <c r="F2308"/>
      <c r="G2308" s="120"/>
      <c r="H2308" s="120"/>
      <c r="I2308"/>
    </row>
    <row r="2309" spans="1:9" ht="12.75">
      <c r="A2309"/>
      <c r="B2309"/>
      <c r="C2309"/>
      <c r="D2309"/>
      <c r="E2309"/>
      <c r="F2309"/>
      <c r="G2309" s="120"/>
      <c r="H2309" s="120"/>
      <c r="I2309"/>
    </row>
    <row r="2310" spans="1:9" ht="12.75">
      <c r="A2310"/>
      <c r="B2310"/>
      <c r="C2310"/>
      <c r="D2310"/>
      <c r="E2310"/>
      <c r="F2310"/>
      <c r="G2310" s="120"/>
      <c r="H2310" s="120"/>
      <c r="I2310"/>
    </row>
    <row r="2311" spans="1:9" ht="12.75">
      <c r="A2311"/>
      <c r="B2311"/>
      <c r="C2311"/>
      <c r="D2311"/>
      <c r="E2311"/>
      <c r="F2311"/>
      <c r="G2311" s="120"/>
      <c r="H2311" s="120"/>
      <c r="I2311"/>
    </row>
    <row r="2312" spans="1:9" ht="12.75">
      <c r="A2312"/>
      <c r="B2312"/>
      <c r="C2312"/>
      <c r="D2312"/>
      <c r="E2312"/>
      <c r="F2312"/>
      <c r="G2312" s="120"/>
      <c r="H2312" s="120"/>
      <c r="I2312"/>
    </row>
    <row r="2313" spans="1:9" ht="12.75">
      <c r="A2313"/>
      <c r="B2313"/>
      <c r="C2313"/>
      <c r="D2313"/>
      <c r="E2313"/>
      <c r="F2313"/>
      <c r="G2313" s="120"/>
      <c r="H2313" s="120"/>
      <c r="I2313"/>
    </row>
    <row r="2314" spans="1:9" ht="12.75">
      <c r="A2314"/>
      <c r="B2314"/>
      <c r="C2314"/>
      <c r="D2314"/>
      <c r="E2314"/>
      <c r="F2314"/>
      <c r="G2314" s="120"/>
      <c r="H2314" s="120"/>
      <c r="I2314"/>
    </row>
    <row r="2315" spans="1:9" ht="12.75">
      <c r="A2315"/>
      <c r="B2315"/>
      <c r="C2315"/>
      <c r="D2315"/>
      <c r="E2315"/>
      <c r="F2315"/>
      <c r="G2315" s="120"/>
      <c r="H2315" s="120"/>
      <c r="I2315"/>
    </row>
    <row r="2316" spans="1:9" ht="12.75">
      <c r="A2316"/>
      <c r="B2316"/>
      <c r="C2316"/>
      <c r="D2316"/>
      <c r="E2316"/>
      <c r="F2316"/>
      <c r="G2316" s="120"/>
      <c r="H2316" s="120"/>
      <c r="I2316"/>
    </row>
    <row r="2317" spans="1:9" ht="12.75">
      <c r="A2317"/>
      <c r="B2317"/>
      <c r="C2317"/>
      <c r="D2317"/>
      <c r="E2317"/>
      <c r="F2317"/>
      <c r="G2317" s="120"/>
      <c r="H2317" s="120"/>
      <c r="I2317"/>
    </row>
    <row r="2318" spans="1:9" ht="12.75">
      <c r="A2318"/>
      <c r="B2318"/>
      <c r="C2318"/>
      <c r="D2318"/>
      <c r="E2318"/>
      <c r="F2318"/>
      <c r="G2318" s="120"/>
      <c r="H2318" s="120"/>
      <c r="I2318"/>
    </row>
    <row r="2319" spans="1:9" ht="12.75">
      <c r="A2319"/>
      <c r="B2319"/>
      <c r="C2319"/>
      <c r="D2319"/>
      <c r="E2319"/>
      <c r="F2319"/>
      <c r="G2319" s="120"/>
      <c r="H2319" s="120"/>
      <c r="I2319"/>
    </row>
    <row r="2320" spans="1:9" ht="12.75">
      <c r="A2320"/>
      <c r="B2320"/>
      <c r="C2320"/>
      <c r="D2320"/>
      <c r="E2320"/>
      <c r="F2320"/>
      <c r="G2320" s="120"/>
      <c r="H2320" s="120"/>
      <c r="I2320"/>
    </row>
    <row r="2321" spans="1:9" ht="12.75">
      <c r="A2321"/>
      <c r="B2321"/>
      <c r="C2321"/>
      <c r="D2321"/>
      <c r="E2321"/>
      <c r="F2321"/>
      <c r="G2321" s="120"/>
      <c r="H2321" s="120"/>
      <c r="I2321"/>
    </row>
    <row r="2322" spans="1:9" ht="12.75">
      <c r="A2322"/>
      <c r="B2322"/>
      <c r="C2322"/>
      <c r="D2322"/>
      <c r="E2322"/>
      <c r="F2322"/>
      <c r="G2322" s="120"/>
      <c r="H2322" s="120"/>
      <c r="I2322"/>
    </row>
    <row r="2323" spans="1:9" ht="12.75">
      <c r="A2323"/>
      <c r="B2323"/>
      <c r="C2323"/>
      <c r="D2323"/>
      <c r="E2323"/>
      <c r="F2323"/>
      <c r="G2323" s="120"/>
      <c r="H2323" s="120"/>
      <c r="I2323"/>
    </row>
    <row r="2324" spans="1:9" ht="12.75">
      <c r="A2324"/>
      <c r="B2324"/>
      <c r="C2324"/>
      <c r="D2324"/>
      <c r="E2324"/>
      <c r="F2324"/>
      <c r="G2324" s="120"/>
      <c r="H2324" s="120"/>
      <c r="I2324"/>
    </row>
    <row r="2325" spans="1:9" ht="12.75">
      <c r="A2325"/>
      <c r="B2325"/>
      <c r="C2325"/>
      <c r="D2325"/>
      <c r="E2325"/>
      <c r="F2325"/>
      <c r="G2325" s="120"/>
      <c r="H2325" s="120"/>
      <c r="I2325"/>
    </row>
    <row r="2326" spans="1:9" ht="12.75">
      <c r="A2326"/>
      <c r="B2326"/>
      <c r="C2326"/>
      <c r="D2326"/>
      <c r="E2326"/>
      <c r="F2326"/>
      <c r="G2326" s="120"/>
      <c r="H2326" s="120"/>
      <c r="I2326"/>
    </row>
    <row r="2327" spans="1:9" ht="12.75">
      <c r="A2327"/>
      <c r="B2327"/>
      <c r="C2327"/>
      <c r="D2327"/>
      <c r="E2327"/>
      <c r="F2327"/>
      <c r="G2327" s="120"/>
      <c r="H2327" s="120"/>
      <c r="I2327"/>
    </row>
    <row r="2328" spans="1:9" ht="12.75">
      <c r="A2328"/>
      <c r="B2328"/>
      <c r="C2328"/>
      <c r="D2328"/>
      <c r="E2328"/>
      <c r="F2328"/>
      <c r="G2328" s="120"/>
      <c r="H2328" s="120"/>
      <c r="I2328"/>
    </row>
    <row r="2329" spans="1:9" ht="12.75">
      <c r="A2329"/>
      <c r="B2329"/>
      <c r="C2329"/>
      <c r="D2329"/>
      <c r="E2329"/>
      <c r="F2329"/>
      <c r="G2329" s="120"/>
      <c r="H2329" s="120"/>
      <c r="I2329"/>
    </row>
    <row r="2330" spans="1:9" ht="12.75">
      <c r="A2330"/>
      <c r="B2330"/>
      <c r="C2330"/>
      <c r="D2330"/>
      <c r="E2330"/>
      <c r="F2330"/>
      <c r="G2330" s="120"/>
      <c r="H2330" s="120"/>
      <c r="I2330"/>
    </row>
    <row r="2331" spans="1:9" ht="12.75">
      <c r="A2331"/>
      <c r="B2331"/>
      <c r="C2331"/>
      <c r="D2331"/>
      <c r="E2331"/>
      <c r="F2331"/>
      <c r="G2331" s="120"/>
      <c r="H2331" s="120"/>
      <c r="I2331"/>
    </row>
    <row r="2332" spans="1:9" ht="12.75">
      <c r="A2332"/>
      <c r="B2332"/>
      <c r="C2332"/>
      <c r="D2332"/>
      <c r="E2332"/>
      <c r="F2332"/>
      <c r="G2332" s="120"/>
      <c r="H2332" s="120"/>
      <c r="I2332"/>
    </row>
    <row r="2333" spans="1:9" ht="12.75">
      <c r="A2333"/>
      <c r="B2333"/>
      <c r="C2333"/>
      <c r="D2333"/>
      <c r="E2333"/>
      <c r="F2333"/>
      <c r="G2333" s="120"/>
      <c r="H2333" s="120"/>
      <c r="I2333"/>
    </row>
    <row r="2334" spans="1:9" ht="12.75">
      <c r="A2334"/>
      <c r="B2334"/>
      <c r="C2334"/>
      <c r="D2334"/>
      <c r="E2334"/>
      <c r="F2334"/>
      <c r="G2334" s="120"/>
      <c r="H2334" s="120"/>
      <c r="I2334"/>
    </row>
    <row r="2335" spans="1:9" ht="12.75">
      <c r="A2335"/>
      <c r="B2335"/>
      <c r="C2335"/>
      <c r="D2335"/>
      <c r="E2335"/>
      <c r="F2335"/>
      <c r="G2335" s="120"/>
      <c r="H2335" s="120"/>
      <c r="I2335"/>
    </row>
    <row r="2336" spans="1:9" ht="12.75">
      <c r="A2336"/>
      <c r="B2336"/>
      <c r="C2336"/>
      <c r="D2336"/>
      <c r="E2336"/>
      <c r="F2336"/>
      <c r="G2336" s="120"/>
      <c r="H2336" s="120"/>
      <c r="I2336"/>
    </row>
    <row r="2337" spans="1:9" ht="12.75">
      <c r="A2337"/>
      <c r="B2337"/>
      <c r="C2337"/>
      <c r="D2337"/>
      <c r="E2337"/>
      <c r="F2337"/>
      <c r="G2337" s="120"/>
      <c r="H2337" s="120"/>
      <c r="I2337"/>
    </row>
    <row r="2338" spans="1:9" ht="12.75">
      <c r="A2338"/>
      <c r="B2338"/>
      <c r="C2338"/>
      <c r="D2338"/>
      <c r="E2338"/>
      <c r="F2338"/>
      <c r="G2338" s="120"/>
      <c r="H2338" s="120"/>
      <c r="I2338"/>
    </row>
    <row r="2339" spans="1:9" ht="12.75">
      <c r="A2339"/>
      <c r="B2339"/>
      <c r="C2339"/>
      <c r="D2339"/>
      <c r="E2339"/>
      <c r="F2339"/>
      <c r="G2339" s="120"/>
      <c r="H2339" s="120"/>
      <c r="I2339"/>
    </row>
    <row r="2340" spans="1:9" ht="12.75">
      <c r="A2340"/>
      <c r="B2340"/>
      <c r="C2340"/>
      <c r="D2340"/>
      <c r="E2340"/>
      <c r="F2340"/>
      <c r="G2340" s="120"/>
      <c r="H2340" s="120"/>
      <c r="I2340"/>
    </row>
    <row r="2341" spans="1:9" ht="12.75">
      <c r="A2341"/>
      <c r="B2341"/>
      <c r="C2341"/>
      <c r="D2341"/>
      <c r="E2341"/>
      <c r="F2341"/>
      <c r="G2341" s="120"/>
      <c r="H2341" s="120"/>
      <c r="I2341"/>
    </row>
    <row r="2342" spans="1:9" ht="12.75">
      <c r="A2342"/>
      <c r="B2342"/>
      <c r="C2342"/>
      <c r="D2342"/>
      <c r="E2342"/>
      <c r="F2342"/>
      <c r="G2342" s="120"/>
      <c r="H2342" s="120"/>
      <c r="I2342"/>
    </row>
    <row r="2343" spans="1:9" ht="12.75">
      <c r="A2343"/>
      <c r="B2343"/>
      <c r="C2343"/>
      <c r="D2343"/>
      <c r="E2343"/>
      <c r="F2343"/>
      <c r="G2343" s="120"/>
      <c r="H2343" s="120"/>
      <c r="I2343"/>
    </row>
    <row r="2344" spans="1:9" ht="12.75">
      <c r="A2344"/>
      <c r="B2344"/>
      <c r="C2344"/>
      <c r="D2344"/>
      <c r="E2344"/>
      <c r="F2344"/>
      <c r="G2344" s="120"/>
      <c r="H2344" s="120"/>
      <c r="I2344"/>
    </row>
    <row r="2345" spans="1:9" ht="12.75">
      <c r="A2345"/>
      <c r="B2345"/>
      <c r="C2345"/>
      <c r="D2345"/>
      <c r="E2345"/>
      <c r="F2345"/>
      <c r="G2345" s="120"/>
      <c r="H2345" s="120"/>
      <c r="I2345"/>
    </row>
    <row r="2346" spans="1:9" ht="12.75">
      <c r="A2346"/>
      <c r="B2346"/>
      <c r="C2346"/>
      <c r="D2346"/>
      <c r="E2346"/>
      <c r="F2346"/>
      <c r="G2346" s="120"/>
      <c r="H2346" s="120"/>
      <c r="I2346"/>
    </row>
    <row r="2347" spans="1:9" ht="12.75">
      <c r="A2347"/>
      <c r="B2347"/>
      <c r="C2347"/>
      <c r="D2347"/>
      <c r="E2347"/>
      <c r="F2347"/>
      <c r="G2347" s="120"/>
      <c r="H2347" s="120"/>
      <c r="I2347"/>
    </row>
    <row r="2348" spans="1:9" ht="12.75">
      <c r="A2348"/>
      <c r="B2348"/>
      <c r="C2348"/>
      <c r="D2348"/>
      <c r="E2348"/>
      <c r="F2348"/>
      <c r="G2348" s="120"/>
      <c r="H2348" s="120"/>
      <c r="I2348"/>
    </row>
    <row r="2349" spans="1:9" ht="12.75">
      <c r="A2349"/>
      <c r="B2349"/>
      <c r="C2349"/>
      <c r="D2349"/>
      <c r="E2349"/>
      <c r="F2349"/>
      <c r="G2349" s="120"/>
      <c r="H2349" s="120"/>
      <c r="I2349"/>
    </row>
    <row r="2350" spans="1:9" ht="12.75">
      <c r="A2350"/>
      <c r="B2350"/>
      <c r="C2350"/>
      <c r="D2350"/>
      <c r="E2350"/>
      <c r="F2350"/>
      <c r="G2350" s="120"/>
      <c r="H2350" s="120"/>
      <c r="I2350"/>
    </row>
    <row r="2351" spans="1:9" ht="12.75">
      <c r="A2351"/>
      <c r="B2351"/>
      <c r="C2351"/>
      <c r="D2351"/>
      <c r="E2351"/>
      <c r="F2351"/>
      <c r="G2351" s="120"/>
      <c r="H2351" s="120"/>
      <c r="I2351"/>
    </row>
    <row r="2352" spans="1:9" ht="12.75">
      <c r="A2352"/>
      <c r="B2352"/>
      <c r="C2352"/>
      <c r="D2352"/>
      <c r="E2352"/>
      <c r="F2352"/>
      <c r="G2352" s="120"/>
      <c r="H2352" s="120"/>
      <c r="I2352"/>
    </row>
    <row r="2353" spans="1:9" ht="12.75">
      <c r="A2353"/>
      <c r="B2353"/>
      <c r="C2353"/>
      <c r="D2353"/>
      <c r="E2353"/>
      <c r="F2353"/>
      <c r="G2353" s="120"/>
      <c r="H2353" s="120"/>
      <c r="I2353"/>
    </row>
    <row r="2354" spans="1:9" ht="12.75">
      <c r="A2354"/>
      <c r="B2354"/>
      <c r="C2354"/>
      <c r="D2354"/>
      <c r="E2354"/>
      <c r="F2354"/>
      <c r="G2354" s="120"/>
      <c r="H2354" s="120"/>
      <c r="I2354"/>
    </row>
    <row r="2355" spans="1:9" ht="12.75">
      <c r="A2355"/>
      <c r="B2355"/>
      <c r="C2355"/>
      <c r="D2355"/>
      <c r="E2355"/>
      <c r="F2355"/>
      <c r="G2355" s="120"/>
      <c r="H2355" s="120"/>
      <c r="I2355"/>
    </row>
    <row r="2356" spans="1:9" ht="12.75">
      <c r="A2356"/>
      <c r="B2356"/>
      <c r="C2356"/>
      <c r="D2356"/>
      <c r="E2356"/>
      <c r="F2356"/>
      <c r="G2356" s="120"/>
      <c r="H2356" s="120"/>
      <c r="I2356"/>
    </row>
    <row r="2357" spans="1:9" ht="12.75">
      <c r="A2357"/>
      <c r="B2357"/>
      <c r="C2357"/>
      <c r="D2357"/>
      <c r="E2357"/>
      <c r="F2357"/>
      <c r="G2357" s="120"/>
      <c r="H2357" s="120"/>
      <c r="I2357"/>
    </row>
    <row r="2358" spans="1:9" ht="12.75">
      <c r="A2358"/>
      <c r="B2358"/>
      <c r="C2358"/>
      <c r="D2358"/>
      <c r="E2358"/>
      <c r="F2358"/>
      <c r="G2358" s="120"/>
      <c r="H2358" s="120"/>
      <c r="I2358"/>
    </row>
    <row r="2359" spans="1:9" ht="12.75">
      <c r="A2359"/>
      <c r="B2359"/>
      <c r="C2359"/>
      <c r="D2359"/>
      <c r="E2359"/>
      <c r="F2359"/>
      <c r="G2359" s="120"/>
      <c r="H2359" s="120"/>
      <c r="I2359"/>
    </row>
    <row r="2360" spans="1:9" ht="12.75">
      <c r="A2360"/>
      <c r="B2360"/>
      <c r="C2360"/>
      <c r="D2360"/>
      <c r="E2360"/>
      <c r="F2360"/>
      <c r="G2360" s="120"/>
      <c r="H2360" s="120"/>
      <c r="I2360"/>
    </row>
    <row r="2361" spans="1:9" ht="12.75">
      <c r="A2361"/>
      <c r="B2361"/>
      <c r="C2361"/>
      <c r="D2361"/>
      <c r="E2361"/>
      <c r="F2361"/>
      <c r="G2361" s="120"/>
      <c r="H2361" s="120"/>
      <c r="I2361"/>
    </row>
    <row r="2362" spans="1:9" ht="12.75">
      <c r="A2362"/>
      <c r="B2362"/>
      <c r="C2362"/>
      <c r="D2362"/>
      <c r="E2362"/>
      <c r="F2362"/>
      <c r="G2362" s="120"/>
      <c r="H2362" s="120"/>
      <c r="I2362"/>
    </row>
    <row r="2363" spans="1:9" ht="12.75">
      <c r="A2363"/>
      <c r="B2363"/>
      <c r="C2363"/>
      <c r="D2363"/>
      <c r="E2363"/>
      <c r="F2363"/>
      <c r="G2363" s="120"/>
      <c r="H2363" s="120"/>
      <c r="I2363"/>
    </row>
    <row r="2364" spans="1:9" ht="12.75">
      <c r="A2364"/>
      <c r="B2364"/>
      <c r="C2364"/>
      <c r="D2364"/>
      <c r="E2364"/>
      <c r="F2364"/>
      <c r="G2364" s="120"/>
      <c r="H2364" s="120"/>
      <c r="I2364"/>
    </row>
    <row r="2365" spans="1:9" ht="12.75">
      <c r="A2365"/>
      <c r="B2365"/>
      <c r="C2365"/>
      <c r="D2365"/>
      <c r="E2365"/>
      <c r="F2365"/>
      <c r="G2365" s="120"/>
      <c r="H2365" s="120"/>
      <c r="I2365"/>
    </row>
    <row r="2366" spans="1:9" ht="12.75">
      <c r="A2366"/>
      <c r="B2366"/>
      <c r="C2366"/>
      <c r="D2366"/>
      <c r="E2366"/>
      <c r="F2366"/>
      <c r="G2366" s="120"/>
      <c r="H2366" s="120"/>
      <c r="I2366"/>
    </row>
    <row r="2367" spans="1:9" ht="12.75">
      <c r="A2367"/>
      <c r="B2367"/>
      <c r="C2367"/>
      <c r="D2367"/>
      <c r="E2367"/>
      <c r="F2367"/>
      <c r="G2367" s="120"/>
      <c r="H2367" s="120"/>
      <c r="I2367"/>
    </row>
    <row r="2368" spans="1:9" ht="12.75">
      <c r="A2368"/>
      <c r="B2368"/>
      <c r="C2368"/>
      <c r="D2368"/>
      <c r="E2368"/>
      <c r="F2368"/>
      <c r="G2368" s="120"/>
      <c r="H2368" s="120"/>
      <c r="I2368"/>
    </row>
    <row r="2369" spans="1:9" ht="12.75">
      <c r="A2369"/>
      <c r="B2369"/>
      <c r="C2369"/>
      <c r="D2369"/>
      <c r="E2369"/>
      <c r="F2369"/>
      <c r="G2369" s="120"/>
      <c r="H2369" s="120"/>
      <c r="I2369"/>
    </row>
    <row r="2370" spans="1:9" ht="12.75">
      <c r="A2370"/>
      <c r="B2370"/>
      <c r="C2370"/>
      <c r="D2370"/>
      <c r="E2370"/>
      <c r="F2370"/>
      <c r="G2370" s="120"/>
      <c r="H2370" s="120"/>
      <c r="I2370"/>
    </row>
    <row r="2371" spans="1:9" ht="12.75">
      <c r="A2371"/>
      <c r="B2371"/>
      <c r="C2371"/>
      <c r="D2371"/>
      <c r="E2371"/>
      <c r="F2371"/>
      <c r="G2371" s="120"/>
      <c r="H2371" s="120"/>
      <c r="I2371"/>
    </row>
    <row r="2372" spans="1:9" ht="12.75">
      <c r="A2372"/>
      <c r="B2372"/>
      <c r="C2372"/>
      <c r="D2372"/>
      <c r="E2372"/>
      <c r="F2372"/>
      <c r="G2372" s="120"/>
      <c r="H2372" s="120"/>
      <c r="I2372"/>
    </row>
    <row r="2373" spans="1:9" ht="12.75">
      <c r="A2373"/>
      <c r="B2373"/>
      <c r="C2373"/>
      <c r="D2373"/>
      <c r="E2373"/>
      <c r="F2373"/>
      <c r="G2373" s="120"/>
      <c r="H2373" s="120"/>
      <c r="I2373"/>
    </row>
    <row r="2374" spans="1:9" ht="12.75">
      <c r="A2374"/>
      <c r="B2374"/>
      <c r="C2374"/>
      <c r="D2374"/>
      <c r="E2374"/>
      <c r="F2374"/>
      <c r="G2374" s="120"/>
      <c r="H2374" s="120"/>
      <c r="I2374"/>
    </row>
    <row r="2375" spans="1:9" ht="12.75">
      <c r="A2375"/>
      <c r="B2375"/>
      <c r="C2375"/>
      <c r="D2375"/>
      <c r="E2375"/>
      <c r="F2375"/>
      <c r="G2375" s="120"/>
      <c r="H2375" s="120"/>
      <c r="I2375"/>
    </row>
    <row r="2376" spans="1:9" ht="12.75">
      <c r="A2376"/>
      <c r="B2376"/>
      <c r="C2376"/>
      <c r="D2376"/>
      <c r="E2376"/>
      <c r="F2376"/>
      <c r="G2376" s="120"/>
      <c r="H2376" s="120"/>
      <c r="I2376"/>
    </row>
    <row r="2377" spans="1:9" ht="12.75">
      <c r="A2377"/>
      <c r="B2377"/>
      <c r="C2377"/>
      <c r="D2377"/>
      <c r="E2377"/>
      <c r="F2377"/>
      <c r="G2377" s="120"/>
      <c r="H2377" s="120"/>
      <c r="I2377"/>
    </row>
    <row r="2378" spans="1:9" ht="12.75">
      <c r="A2378"/>
      <c r="B2378"/>
      <c r="C2378"/>
      <c r="D2378"/>
      <c r="E2378"/>
      <c r="F2378"/>
      <c r="G2378" s="120"/>
      <c r="H2378" s="120"/>
      <c r="I2378"/>
    </row>
    <row r="2379" spans="1:9" ht="12.75">
      <c r="A2379"/>
      <c r="B2379"/>
      <c r="C2379"/>
      <c r="D2379"/>
      <c r="E2379"/>
      <c r="F2379"/>
      <c r="G2379" s="120"/>
      <c r="H2379" s="120"/>
      <c r="I2379"/>
    </row>
    <row r="2380" spans="1:9" ht="12.75">
      <c r="A2380"/>
      <c r="B2380"/>
      <c r="C2380"/>
      <c r="D2380"/>
      <c r="E2380"/>
      <c r="F2380"/>
      <c r="G2380" s="120"/>
      <c r="H2380" s="120"/>
      <c r="I2380"/>
    </row>
    <row r="2381" spans="1:9" ht="12.75">
      <c r="A2381"/>
      <c r="B2381"/>
      <c r="C2381"/>
      <c r="D2381"/>
      <c r="E2381"/>
      <c r="F2381"/>
      <c r="G2381" s="120"/>
      <c r="H2381" s="120"/>
      <c r="I2381"/>
    </row>
    <row r="2382" spans="1:9" ht="12.75">
      <c r="A2382"/>
      <c r="B2382"/>
      <c r="C2382"/>
      <c r="D2382"/>
      <c r="E2382"/>
      <c r="F2382"/>
      <c r="G2382" s="120"/>
      <c r="H2382" s="120"/>
      <c r="I2382"/>
    </row>
    <row r="2383" spans="1:9" ht="12.75">
      <c r="A2383"/>
      <c r="B2383"/>
      <c r="C2383"/>
      <c r="D2383"/>
      <c r="E2383"/>
      <c r="F2383"/>
      <c r="G2383" s="120"/>
      <c r="H2383" s="120"/>
      <c r="I2383"/>
    </row>
    <row r="2384" spans="1:9" ht="12.75">
      <c r="A2384"/>
      <c r="B2384"/>
      <c r="C2384"/>
      <c r="D2384"/>
      <c r="E2384"/>
      <c r="F2384"/>
      <c r="G2384" s="120"/>
      <c r="H2384" s="120"/>
      <c r="I2384"/>
    </row>
    <row r="2385" spans="1:9" ht="12.75">
      <c r="A2385"/>
      <c r="B2385"/>
      <c r="C2385"/>
      <c r="D2385"/>
      <c r="E2385"/>
      <c r="F2385"/>
      <c r="G2385" s="120"/>
      <c r="H2385" s="120"/>
      <c r="I2385"/>
    </row>
    <row r="2386" spans="1:9" ht="12.75">
      <c r="A2386"/>
      <c r="B2386"/>
      <c r="C2386"/>
      <c r="D2386"/>
      <c r="E2386"/>
      <c r="F2386"/>
      <c r="G2386" s="120"/>
      <c r="H2386" s="120"/>
      <c r="I2386"/>
    </row>
    <row r="2387" spans="1:9" ht="12.75">
      <c r="A2387"/>
      <c r="B2387"/>
      <c r="C2387"/>
      <c r="D2387"/>
      <c r="E2387"/>
      <c r="F2387"/>
      <c r="G2387" s="120"/>
      <c r="H2387" s="120"/>
      <c r="I2387"/>
    </row>
    <row r="2388" spans="1:9" ht="12.75">
      <c r="A2388"/>
      <c r="B2388"/>
      <c r="C2388"/>
      <c r="D2388"/>
      <c r="E2388"/>
      <c r="F2388"/>
      <c r="G2388" s="120"/>
      <c r="H2388" s="120"/>
      <c r="I2388"/>
    </row>
    <row r="2389" spans="1:9" ht="12.75">
      <c r="A2389"/>
      <c r="B2389"/>
      <c r="C2389"/>
      <c r="D2389"/>
      <c r="E2389"/>
      <c r="F2389"/>
      <c r="G2389" s="120"/>
      <c r="H2389" s="120"/>
      <c r="I2389"/>
    </row>
    <row r="2390" spans="1:9" ht="12.75">
      <c r="A2390"/>
      <c r="B2390"/>
      <c r="C2390"/>
      <c r="D2390"/>
      <c r="E2390"/>
      <c r="F2390"/>
      <c r="G2390" s="120"/>
      <c r="H2390" s="120"/>
      <c r="I2390"/>
    </row>
    <row r="2391" spans="1:9" ht="12.75">
      <c r="A2391"/>
      <c r="B2391"/>
      <c r="C2391"/>
      <c r="D2391"/>
      <c r="E2391"/>
      <c r="F2391"/>
      <c r="G2391" s="120"/>
      <c r="H2391" s="120"/>
      <c r="I2391"/>
    </row>
    <row r="2392" spans="1:9" ht="12.75">
      <c r="A2392"/>
      <c r="B2392"/>
      <c r="C2392"/>
      <c r="D2392"/>
      <c r="E2392"/>
      <c r="F2392"/>
      <c r="G2392" s="120"/>
      <c r="H2392" s="120"/>
      <c r="I2392"/>
    </row>
    <row r="2393" spans="1:9" ht="12.75">
      <c r="A2393"/>
      <c r="B2393"/>
      <c r="C2393"/>
      <c r="D2393"/>
      <c r="E2393"/>
      <c r="F2393"/>
      <c r="G2393" s="120"/>
      <c r="H2393" s="120"/>
      <c r="I2393"/>
    </row>
    <row r="2394" spans="1:9" ht="12.75">
      <c r="A2394"/>
      <c r="B2394"/>
      <c r="C2394"/>
      <c r="D2394"/>
      <c r="E2394"/>
      <c r="F2394"/>
      <c r="G2394" s="120"/>
      <c r="H2394" s="120"/>
      <c r="I2394"/>
    </row>
    <row r="2395" spans="1:9" ht="12.75">
      <c r="A2395"/>
      <c r="B2395"/>
      <c r="C2395"/>
      <c r="D2395"/>
      <c r="E2395"/>
      <c r="F2395"/>
      <c r="G2395" s="120"/>
      <c r="H2395" s="120"/>
      <c r="I2395"/>
    </row>
    <row r="2396" spans="1:9" ht="12.75">
      <c r="A2396"/>
      <c r="B2396"/>
      <c r="C2396"/>
      <c r="D2396"/>
      <c r="E2396"/>
      <c r="F2396"/>
      <c r="G2396" s="120"/>
      <c r="H2396" s="120"/>
      <c r="I2396"/>
    </row>
    <row r="2397" spans="1:9" ht="12.75">
      <c r="A2397"/>
      <c r="B2397"/>
      <c r="C2397"/>
      <c r="D2397"/>
      <c r="E2397"/>
      <c r="F2397"/>
      <c r="G2397" s="120"/>
      <c r="H2397" s="120"/>
      <c r="I2397"/>
    </row>
    <row r="2398" spans="1:9" ht="12.75">
      <c r="A2398"/>
      <c r="B2398"/>
      <c r="C2398"/>
      <c r="D2398"/>
      <c r="E2398"/>
      <c r="F2398"/>
      <c r="G2398" s="120"/>
      <c r="H2398" s="120"/>
      <c r="I2398"/>
    </row>
    <row r="2399" spans="1:9" ht="12.75">
      <c r="A2399"/>
      <c r="B2399"/>
      <c r="C2399"/>
      <c r="D2399"/>
      <c r="E2399"/>
      <c r="F2399"/>
      <c r="G2399" s="120"/>
      <c r="H2399" s="120"/>
      <c r="I2399"/>
    </row>
    <row r="2400" spans="1:9" ht="12.75">
      <c r="A2400"/>
      <c r="B2400"/>
      <c r="C2400"/>
      <c r="D2400"/>
      <c r="E2400"/>
      <c r="F2400"/>
      <c r="G2400" s="120"/>
      <c r="H2400" s="120"/>
      <c r="I2400"/>
    </row>
    <row r="2401" spans="1:9" ht="12.75">
      <c r="A2401"/>
      <c r="B2401"/>
      <c r="C2401"/>
      <c r="D2401"/>
      <c r="E2401"/>
      <c r="F2401"/>
      <c r="G2401" s="120"/>
      <c r="H2401" s="120"/>
      <c r="I2401"/>
    </row>
    <row r="2402" spans="1:9" ht="12.75">
      <c r="A2402"/>
      <c r="B2402"/>
      <c r="C2402"/>
      <c r="D2402"/>
      <c r="E2402"/>
      <c r="F2402"/>
      <c r="G2402" s="120"/>
      <c r="H2402" s="120"/>
      <c r="I2402"/>
    </row>
    <row r="2403" spans="1:9" ht="12.75">
      <c r="A2403"/>
      <c r="B2403"/>
      <c r="C2403"/>
      <c r="D2403"/>
      <c r="E2403"/>
      <c r="F2403"/>
      <c r="G2403" s="120"/>
      <c r="H2403" s="120"/>
      <c r="I2403"/>
    </row>
    <row r="2404" spans="1:9" ht="12.75">
      <c r="A2404"/>
      <c r="B2404"/>
      <c r="C2404"/>
      <c r="D2404"/>
      <c r="E2404"/>
      <c r="F2404"/>
      <c r="G2404" s="120"/>
      <c r="H2404" s="120"/>
      <c r="I2404"/>
    </row>
    <row r="2405" spans="1:9" ht="12.75">
      <c r="A2405"/>
      <c r="B2405"/>
      <c r="C2405"/>
      <c r="D2405"/>
      <c r="E2405"/>
      <c r="F2405"/>
      <c r="G2405" s="120"/>
      <c r="H2405" s="120"/>
      <c r="I2405"/>
    </row>
    <row r="2406" spans="1:9" ht="12.75">
      <c r="A2406"/>
      <c r="B2406"/>
      <c r="C2406"/>
      <c r="D2406"/>
      <c r="E2406"/>
      <c r="F2406"/>
      <c r="G2406" s="120"/>
      <c r="H2406" s="120"/>
      <c r="I2406"/>
    </row>
    <row r="2407" spans="1:9" ht="12.75">
      <c r="A2407"/>
      <c r="B2407"/>
      <c r="C2407"/>
      <c r="D2407"/>
      <c r="E2407"/>
      <c r="F2407"/>
      <c r="G2407" s="120"/>
      <c r="H2407" s="120"/>
      <c r="I2407"/>
    </row>
    <row r="2408" spans="1:9" ht="12.75">
      <c r="A2408"/>
      <c r="B2408"/>
      <c r="C2408"/>
      <c r="D2408"/>
      <c r="E2408"/>
      <c r="F2408"/>
      <c r="G2408" s="120"/>
      <c r="H2408" s="120"/>
      <c r="I2408"/>
    </row>
    <row r="2409" spans="1:9" ht="12.75">
      <c r="A2409"/>
      <c r="B2409"/>
      <c r="C2409"/>
      <c r="D2409"/>
      <c r="E2409"/>
      <c r="F2409"/>
      <c r="G2409" s="120"/>
      <c r="H2409" s="120"/>
      <c r="I2409"/>
    </row>
    <row r="2410" spans="1:9" ht="12.75">
      <c r="A2410"/>
      <c r="B2410"/>
      <c r="C2410"/>
      <c r="D2410"/>
      <c r="E2410"/>
      <c r="F2410"/>
      <c r="G2410" s="120"/>
      <c r="H2410" s="120"/>
      <c r="I2410"/>
    </row>
    <row r="2411" spans="1:9" ht="12.75">
      <c r="A2411"/>
      <c r="B2411"/>
      <c r="C2411"/>
      <c r="D2411"/>
      <c r="E2411"/>
      <c r="F2411"/>
      <c r="G2411" s="120"/>
      <c r="H2411" s="120"/>
      <c r="I2411"/>
    </row>
    <row r="2412" spans="1:9" ht="12.75">
      <c r="A2412"/>
      <c r="B2412"/>
      <c r="C2412"/>
      <c r="D2412"/>
      <c r="E2412"/>
      <c r="F2412"/>
      <c r="G2412" s="120"/>
      <c r="H2412" s="120"/>
      <c r="I2412"/>
    </row>
    <row r="2413" spans="1:9" ht="12.75">
      <c r="A2413"/>
      <c r="B2413"/>
      <c r="C2413"/>
      <c r="D2413"/>
      <c r="E2413"/>
      <c r="F2413"/>
      <c r="G2413" s="120"/>
      <c r="H2413" s="120"/>
      <c r="I2413"/>
    </row>
    <row r="2414" spans="1:9" ht="12.75">
      <c r="A2414"/>
      <c r="B2414"/>
      <c r="C2414"/>
      <c r="D2414"/>
      <c r="E2414"/>
      <c r="F2414"/>
      <c r="G2414" s="120"/>
      <c r="H2414" s="120"/>
      <c r="I2414"/>
    </row>
    <row r="2415" spans="1:9" ht="12.75">
      <c r="A2415"/>
      <c r="B2415"/>
      <c r="C2415"/>
      <c r="D2415"/>
      <c r="E2415"/>
      <c r="F2415"/>
      <c r="G2415" s="120"/>
      <c r="H2415" s="120"/>
      <c r="I2415"/>
    </row>
    <row r="2416" spans="1:9" ht="12.75">
      <c r="A2416"/>
      <c r="B2416"/>
      <c r="C2416"/>
      <c r="D2416"/>
      <c r="E2416"/>
      <c r="F2416"/>
      <c r="G2416" s="120"/>
      <c r="H2416" s="120"/>
      <c r="I2416"/>
    </row>
    <row r="2417" spans="1:9" ht="12.75">
      <c r="A2417"/>
      <c r="B2417"/>
      <c r="C2417"/>
      <c r="D2417"/>
      <c r="E2417"/>
      <c r="F2417"/>
      <c r="G2417" s="120"/>
      <c r="H2417" s="120"/>
      <c r="I2417"/>
    </row>
    <row r="2418" spans="1:9" ht="12.75">
      <c r="A2418"/>
      <c r="B2418"/>
      <c r="C2418"/>
      <c r="D2418"/>
      <c r="E2418"/>
      <c r="F2418"/>
      <c r="G2418" s="120"/>
      <c r="H2418" s="120"/>
      <c r="I2418"/>
    </row>
    <row r="2419" spans="1:9" ht="12.75">
      <c r="A2419"/>
      <c r="B2419"/>
      <c r="C2419"/>
      <c r="D2419"/>
      <c r="E2419"/>
      <c r="F2419"/>
      <c r="G2419" s="120"/>
      <c r="H2419" s="120"/>
      <c r="I2419"/>
    </row>
    <row r="2420" spans="1:9" ht="12.75">
      <c r="A2420"/>
      <c r="B2420"/>
      <c r="C2420"/>
      <c r="D2420"/>
      <c r="E2420"/>
      <c r="F2420"/>
      <c r="G2420" s="120"/>
      <c r="H2420" s="120"/>
      <c r="I2420"/>
    </row>
    <row r="2421" spans="1:9" ht="12.75">
      <c r="A2421"/>
      <c r="B2421"/>
      <c r="C2421"/>
      <c r="D2421"/>
      <c r="E2421"/>
      <c r="F2421"/>
      <c r="G2421" s="120"/>
      <c r="H2421" s="120"/>
      <c r="I2421"/>
    </row>
    <row r="2422" spans="1:9" ht="12.75">
      <c r="A2422"/>
      <c r="B2422"/>
      <c r="C2422"/>
      <c r="D2422"/>
      <c r="E2422"/>
      <c r="F2422"/>
      <c r="G2422" s="120"/>
      <c r="H2422" s="120"/>
      <c r="I2422"/>
    </row>
    <row r="2423" spans="1:9" ht="12.75">
      <c r="A2423"/>
      <c r="B2423"/>
      <c r="C2423"/>
      <c r="D2423"/>
      <c r="E2423"/>
      <c r="F2423"/>
      <c r="G2423" s="120"/>
      <c r="H2423" s="120"/>
      <c r="I2423"/>
    </row>
    <row r="2424" spans="1:9" ht="12.75">
      <c r="A2424"/>
      <c r="B2424"/>
      <c r="C2424"/>
      <c r="D2424"/>
      <c r="E2424"/>
      <c r="F2424"/>
      <c r="G2424" s="120"/>
      <c r="H2424" s="120"/>
      <c r="I2424"/>
    </row>
    <row r="2425" spans="1:9" ht="12.75">
      <c r="A2425"/>
      <c r="B2425"/>
      <c r="C2425"/>
      <c r="D2425"/>
      <c r="E2425"/>
      <c r="F2425"/>
      <c r="G2425" s="120"/>
      <c r="H2425" s="120"/>
      <c r="I2425"/>
    </row>
    <row r="2426" spans="1:9" ht="12.75">
      <c r="A2426"/>
      <c r="B2426"/>
      <c r="C2426"/>
      <c r="D2426"/>
      <c r="E2426"/>
      <c r="F2426"/>
      <c r="G2426" s="120"/>
      <c r="H2426" s="120"/>
      <c r="I2426"/>
    </row>
    <row r="2427" spans="1:9" ht="12.75">
      <c r="A2427"/>
      <c r="B2427"/>
      <c r="C2427"/>
      <c r="D2427"/>
      <c r="E2427"/>
      <c r="F2427"/>
      <c r="G2427" s="120"/>
      <c r="H2427" s="120"/>
      <c r="I2427"/>
    </row>
    <row r="2428" spans="1:9" ht="12.75">
      <c r="A2428"/>
      <c r="B2428"/>
      <c r="C2428"/>
      <c r="D2428"/>
      <c r="E2428"/>
      <c r="F2428"/>
      <c r="G2428" s="120"/>
      <c r="H2428" s="120"/>
      <c r="I2428"/>
    </row>
    <row r="2429" spans="1:9" ht="12.75">
      <c r="A2429"/>
      <c r="B2429"/>
      <c r="C2429"/>
      <c r="D2429"/>
      <c r="E2429"/>
      <c r="F2429"/>
      <c r="G2429" s="120"/>
      <c r="H2429" s="120"/>
      <c r="I2429"/>
    </row>
    <row r="2430" spans="1:9" ht="12.75">
      <c r="A2430"/>
      <c r="B2430"/>
      <c r="C2430"/>
      <c r="D2430"/>
      <c r="E2430"/>
      <c r="F2430"/>
      <c r="G2430" s="120"/>
      <c r="H2430" s="120"/>
      <c r="I2430"/>
    </row>
    <row r="2431" spans="1:9" ht="12.75">
      <c r="A2431"/>
      <c r="B2431"/>
      <c r="C2431"/>
      <c r="D2431"/>
      <c r="E2431"/>
      <c r="F2431"/>
      <c r="G2431" s="120"/>
      <c r="H2431" s="120"/>
      <c r="I2431"/>
    </row>
    <row r="2432" spans="1:9" ht="12.75">
      <c r="A2432"/>
      <c r="B2432"/>
      <c r="C2432"/>
      <c r="D2432"/>
      <c r="E2432"/>
      <c r="F2432"/>
      <c r="G2432" s="120"/>
      <c r="H2432" s="120"/>
      <c r="I2432"/>
    </row>
    <row r="2433" spans="1:9" ht="12.75">
      <c r="A2433"/>
      <c r="B2433"/>
      <c r="C2433"/>
      <c r="D2433"/>
      <c r="E2433"/>
      <c r="F2433"/>
      <c r="G2433" s="120"/>
      <c r="H2433" s="120"/>
      <c r="I2433"/>
    </row>
    <row r="2434" spans="1:9" ht="12.75">
      <c r="A2434"/>
      <c r="B2434"/>
      <c r="C2434"/>
      <c r="D2434"/>
      <c r="E2434"/>
      <c r="F2434"/>
      <c r="G2434" s="120"/>
      <c r="H2434" s="120"/>
      <c r="I2434"/>
    </row>
    <row r="2435" spans="1:9" ht="12.75">
      <c r="A2435"/>
      <c r="B2435"/>
      <c r="C2435"/>
      <c r="D2435"/>
      <c r="E2435"/>
      <c r="F2435"/>
      <c r="G2435" s="120"/>
      <c r="H2435" s="120"/>
      <c r="I2435"/>
    </row>
    <row r="2436" spans="1:9" ht="12.75">
      <c r="A2436"/>
      <c r="B2436"/>
      <c r="C2436"/>
      <c r="D2436"/>
      <c r="E2436"/>
      <c r="F2436"/>
      <c r="G2436" s="120"/>
      <c r="H2436" s="120"/>
      <c r="I2436"/>
    </row>
    <row r="2437" spans="1:9" ht="12.75">
      <c r="A2437"/>
      <c r="B2437"/>
      <c r="C2437"/>
      <c r="D2437"/>
      <c r="E2437"/>
      <c r="F2437"/>
      <c r="G2437" s="120"/>
      <c r="H2437" s="120"/>
      <c r="I2437"/>
    </row>
    <row r="2438" spans="1:9" ht="12.75">
      <c r="A2438"/>
      <c r="B2438"/>
      <c r="C2438"/>
      <c r="D2438"/>
      <c r="E2438"/>
      <c r="F2438"/>
      <c r="G2438" s="120"/>
      <c r="H2438" s="120"/>
      <c r="I2438"/>
    </row>
    <row r="2439" spans="1:9" ht="12.75">
      <c r="A2439"/>
      <c r="B2439"/>
      <c r="C2439"/>
      <c r="D2439"/>
      <c r="E2439"/>
      <c r="F2439"/>
      <c r="G2439" s="120"/>
      <c r="H2439" s="120"/>
      <c r="I2439"/>
    </row>
    <row r="2440" spans="1:9" ht="12.75">
      <c r="A2440"/>
      <c r="B2440"/>
      <c r="C2440"/>
      <c r="D2440"/>
      <c r="E2440"/>
      <c r="F2440"/>
      <c r="G2440" s="120"/>
      <c r="H2440" s="120"/>
      <c r="I2440"/>
    </row>
    <row r="2441" spans="1:9" ht="12.75">
      <c r="A2441"/>
      <c r="B2441"/>
      <c r="C2441"/>
      <c r="D2441"/>
      <c r="E2441"/>
      <c r="F2441"/>
      <c r="G2441" s="120"/>
      <c r="H2441" s="120"/>
      <c r="I2441"/>
    </row>
    <row r="2442" spans="1:9" ht="12.75">
      <c r="A2442"/>
      <c r="B2442"/>
      <c r="C2442"/>
      <c r="D2442"/>
      <c r="E2442"/>
      <c r="F2442"/>
      <c r="G2442" s="120"/>
      <c r="H2442" s="120"/>
      <c r="I2442"/>
    </row>
    <row r="2443" spans="1:9" ht="12.75">
      <c r="A2443"/>
      <c r="B2443"/>
      <c r="C2443"/>
      <c r="D2443"/>
      <c r="E2443"/>
      <c r="F2443"/>
      <c r="G2443" s="120"/>
      <c r="H2443" s="120"/>
      <c r="I2443"/>
    </row>
    <row r="2444" spans="1:9" ht="12.75">
      <c r="A2444"/>
      <c r="B2444"/>
      <c r="C2444"/>
      <c r="D2444"/>
      <c r="E2444"/>
      <c r="F2444"/>
      <c r="G2444" s="120"/>
      <c r="H2444" s="120"/>
      <c r="I2444"/>
    </row>
    <row r="2445" spans="1:9" ht="12.75">
      <c r="A2445"/>
      <c r="B2445"/>
      <c r="C2445"/>
      <c r="D2445"/>
      <c r="E2445"/>
      <c r="F2445"/>
      <c r="G2445" s="120"/>
      <c r="H2445" s="120"/>
      <c r="I2445"/>
    </row>
    <row r="2446" spans="1:9" ht="12.75">
      <c r="A2446"/>
      <c r="B2446"/>
      <c r="C2446"/>
      <c r="D2446"/>
      <c r="E2446"/>
      <c r="F2446"/>
      <c r="G2446" s="120"/>
      <c r="H2446" s="120"/>
      <c r="I2446"/>
    </row>
    <row r="2447" spans="1:9" ht="12.75">
      <c r="A2447"/>
      <c r="B2447"/>
      <c r="C2447"/>
      <c r="D2447"/>
      <c r="E2447"/>
      <c r="F2447"/>
      <c r="G2447" s="120"/>
      <c r="H2447" s="120"/>
      <c r="I2447"/>
    </row>
    <row r="2448" spans="1:9" ht="12.75">
      <c r="A2448"/>
      <c r="B2448"/>
      <c r="C2448"/>
      <c r="D2448"/>
      <c r="E2448"/>
      <c r="F2448"/>
      <c r="G2448" s="120"/>
      <c r="H2448" s="120"/>
      <c r="I2448"/>
    </row>
    <row r="2449" spans="1:9" ht="12.75">
      <c r="A2449"/>
      <c r="B2449"/>
      <c r="C2449"/>
      <c r="D2449"/>
      <c r="E2449"/>
      <c r="F2449"/>
      <c r="G2449" s="120"/>
      <c r="H2449" s="120"/>
      <c r="I2449"/>
    </row>
    <row r="2450" spans="1:9" ht="12.75">
      <c r="A2450"/>
      <c r="B2450"/>
      <c r="C2450"/>
      <c r="D2450"/>
      <c r="E2450"/>
      <c r="F2450"/>
      <c r="G2450" s="120"/>
      <c r="H2450" s="120"/>
      <c r="I2450"/>
    </row>
    <row r="2451" spans="1:9" ht="12.75">
      <c r="A2451"/>
      <c r="B2451"/>
      <c r="C2451"/>
      <c r="D2451"/>
      <c r="E2451"/>
      <c r="F2451"/>
      <c r="G2451" s="120"/>
      <c r="H2451" s="120"/>
      <c r="I2451"/>
    </row>
    <row r="2452" spans="1:9" ht="12.75">
      <c r="A2452"/>
      <c r="B2452"/>
      <c r="C2452"/>
      <c r="D2452"/>
      <c r="E2452"/>
      <c r="F2452"/>
      <c r="G2452" s="120"/>
      <c r="H2452" s="120"/>
      <c r="I2452"/>
    </row>
    <row r="2453" spans="1:9" ht="12.75">
      <c r="A2453"/>
      <c r="B2453"/>
      <c r="C2453"/>
      <c r="D2453"/>
      <c r="E2453"/>
      <c r="F2453"/>
      <c r="G2453" s="120"/>
      <c r="H2453" s="120"/>
      <c r="I2453"/>
    </row>
    <row r="2454" spans="1:9" ht="12.75">
      <c r="A2454"/>
      <c r="B2454"/>
      <c r="C2454"/>
      <c r="D2454"/>
      <c r="E2454"/>
      <c r="F2454"/>
      <c r="G2454" s="120"/>
      <c r="H2454" s="120"/>
      <c r="I2454"/>
    </row>
    <row r="2455" spans="1:9" ht="12.75">
      <c r="A2455"/>
      <c r="B2455"/>
      <c r="C2455"/>
      <c r="D2455"/>
      <c r="E2455"/>
      <c r="F2455"/>
      <c r="G2455" s="120"/>
      <c r="H2455" s="120"/>
      <c r="I2455"/>
    </row>
    <row r="2456" spans="1:9" ht="12.75">
      <c r="A2456"/>
      <c r="B2456"/>
      <c r="C2456"/>
      <c r="D2456"/>
      <c r="E2456"/>
      <c r="F2456"/>
      <c r="G2456" s="120"/>
      <c r="H2456" s="120"/>
      <c r="I2456"/>
    </row>
    <row r="2457" spans="1:9" ht="12.75">
      <c r="A2457"/>
      <c r="B2457"/>
      <c r="C2457"/>
      <c r="D2457"/>
      <c r="E2457"/>
      <c r="F2457"/>
      <c r="G2457" s="120"/>
      <c r="H2457" s="120"/>
      <c r="I2457"/>
    </row>
    <row r="2458" spans="1:9" ht="12.75">
      <c r="A2458"/>
      <c r="B2458"/>
      <c r="C2458"/>
      <c r="D2458"/>
      <c r="E2458"/>
      <c r="F2458"/>
      <c r="G2458" s="120"/>
      <c r="H2458" s="120"/>
      <c r="I2458"/>
    </row>
    <row r="2459" spans="1:9" ht="12.75">
      <c r="A2459"/>
      <c r="B2459"/>
      <c r="C2459"/>
      <c r="D2459"/>
      <c r="E2459"/>
      <c r="F2459"/>
      <c r="G2459" s="120"/>
      <c r="H2459" s="120"/>
      <c r="I2459"/>
    </row>
    <row r="2460" spans="1:9" ht="12.75">
      <c r="A2460"/>
      <c r="B2460"/>
      <c r="C2460"/>
      <c r="D2460"/>
      <c r="E2460"/>
      <c r="F2460"/>
      <c r="G2460" s="120"/>
      <c r="H2460" s="120"/>
      <c r="I2460"/>
    </row>
    <row r="2461" spans="1:9" ht="12.75">
      <c r="A2461"/>
      <c r="B2461"/>
      <c r="C2461"/>
      <c r="D2461"/>
      <c r="E2461"/>
      <c r="F2461"/>
      <c r="G2461" s="120"/>
      <c r="H2461" s="120"/>
      <c r="I2461"/>
    </row>
    <row r="2462" spans="1:9" ht="12.75">
      <c r="A2462"/>
      <c r="B2462"/>
      <c r="C2462"/>
      <c r="D2462"/>
      <c r="E2462"/>
      <c r="F2462"/>
      <c r="G2462" s="120"/>
      <c r="H2462" s="120"/>
      <c r="I2462"/>
    </row>
    <row r="2463" spans="1:9" ht="12.75">
      <c r="A2463"/>
      <c r="B2463"/>
      <c r="C2463"/>
      <c r="D2463"/>
      <c r="E2463"/>
      <c r="F2463"/>
      <c r="G2463" s="120"/>
      <c r="H2463" s="120"/>
      <c r="I2463"/>
    </row>
    <row r="2464" spans="1:9" ht="12.75">
      <c r="A2464"/>
      <c r="B2464"/>
      <c r="C2464"/>
      <c r="D2464"/>
      <c r="E2464"/>
      <c r="F2464"/>
      <c r="G2464" s="120"/>
      <c r="H2464" s="120"/>
      <c r="I2464"/>
    </row>
    <row r="2465" spans="1:9" ht="12.75">
      <c r="A2465"/>
      <c r="B2465"/>
      <c r="C2465"/>
      <c r="D2465"/>
      <c r="E2465"/>
      <c r="F2465"/>
      <c r="G2465" s="120"/>
      <c r="H2465" s="120"/>
      <c r="I2465"/>
    </row>
    <row r="2466" spans="1:9" ht="12.75">
      <c r="A2466"/>
      <c r="B2466"/>
      <c r="C2466"/>
      <c r="D2466"/>
      <c r="E2466"/>
      <c r="F2466"/>
      <c r="G2466" s="120"/>
      <c r="H2466" s="120"/>
      <c r="I2466"/>
    </row>
    <row r="2467" spans="1:9" ht="12.75">
      <c r="A2467"/>
      <c r="B2467"/>
      <c r="C2467"/>
      <c r="D2467"/>
      <c r="E2467"/>
      <c r="F2467"/>
      <c r="G2467" s="120"/>
      <c r="H2467" s="120"/>
      <c r="I2467"/>
    </row>
    <row r="2468" spans="1:9" ht="12.75">
      <c r="A2468"/>
      <c r="B2468"/>
      <c r="C2468"/>
      <c r="D2468"/>
      <c r="E2468"/>
      <c r="F2468"/>
      <c r="G2468" s="120"/>
      <c r="H2468" s="120"/>
      <c r="I2468"/>
    </row>
    <row r="2469" spans="1:9" ht="12.75">
      <c r="A2469"/>
      <c r="B2469"/>
      <c r="C2469"/>
      <c r="D2469"/>
      <c r="E2469"/>
      <c r="F2469"/>
      <c r="G2469" s="120"/>
      <c r="H2469" s="120"/>
      <c r="I2469"/>
    </row>
    <row r="2470" spans="1:9" ht="12.75">
      <c r="A2470"/>
      <c r="B2470"/>
      <c r="C2470"/>
      <c r="D2470"/>
      <c r="E2470"/>
      <c r="F2470"/>
      <c r="G2470" s="120"/>
      <c r="H2470" s="120"/>
      <c r="I2470"/>
    </row>
    <row r="2471" spans="1:9" ht="12.75">
      <c r="A2471"/>
      <c r="B2471"/>
      <c r="C2471"/>
      <c r="D2471"/>
      <c r="E2471"/>
      <c r="F2471"/>
      <c r="G2471" s="120"/>
      <c r="H2471" s="120"/>
      <c r="I2471"/>
    </row>
    <row r="2472" spans="1:9" ht="12.75">
      <c r="A2472"/>
      <c r="B2472"/>
      <c r="C2472"/>
      <c r="D2472"/>
      <c r="E2472"/>
      <c r="F2472"/>
      <c r="G2472" s="120"/>
      <c r="H2472" s="120"/>
      <c r="I2472"/>
    </row>
    <row r="2473" spans="1:9" ht="12.75">
      <c r="A2473"/>
      <c r="B2473"/>
      <c r="C2473"/>
      <c r="D2473"/>
      <c r="E2473"/>
      <c r="F2473"/>
      <c r="G2473" s="120"/>
      <c r="H2473" s="120"/>
      <c r="I2473"/>
    </row>
    <row r="2474" spans="1:9" ht="12.75">
      <c r="A2474"/>
      <c r="B2474"/>
      <c r="C2474"/>
      <c r="D2474"/>
      <c r="E2474"/>
      <c r="F2474"/>
      <c r="G2474" s="120"/>
      <c r="H2474" s="120"/>
      <c r="I2474"/>
    </row>
    <row r="2475" spans="1:9" ht="12.75">
      <c r="A2475"/>
      <c r="B2475"/>
      <c r="C2475"/>
      <c r="D2475"/>
      <c r="E2475"/>
      <c r="F2475"/>
      <c r="G2475" s="120"/>
      <c r="H2475" s="120"/>
      <c r="I2475"/>
    </row>
    <row r="2476" spans="1:9" ht="12.75">
      <c r="A2476"/>
      <c r="B2476"/>
      <c r="C2476"/>
      <c r="D2476"/>
      <c r="E2476"/>
      <c r="F2476"/>
      <c r="G2476" s="120"/>
      <c r="H2476" s="120"/>
      <c r="I2476"/>
    </row>
    <row r="2477" spans="1:9" ht="12.75">
      <c r="A2477"/>
      <c r="B2477"/>
      <c r="C2477"/>
      <c r="D2477"/>
      <c r="E2477"/>
      <c r="F2477"/>
      <c r="G2477" s="120"/>
      <c r="H2477" s="120"/>
      <c r="I2477"/>
    </row>
    <row r="2478" spans="1:9" ht="12.75">
      <c r="A2478"/>
      <c r="B2478"/>
      <c r="C2478"/>
      <c r="D2478"/>
      <c r="E2478"/>
      <c r="F2478"/>
      <c r="G2478" s="120"/>
      <c r="H2478" s="120"/>
      <c r="I2478"/>
    </row>
    <row r="2479" spans="1:9" ht="12.75">
      <c r="A2479"/>
      <c r="B2479"/>
      <c r="C2479"/>
      <c r="D2479"/>
      <c r="E2479"/>
      <c r="F2479"/>
      <c r="G2479" s="120"/>
      <c r="H2479" s="120"/>
      <c r="I2479"/>
    </row>
    <row r="2480" spans="1:9" ht="12.75">
      <c r="A2480"/>
      <c r="B2480"/>
      <c r="C2480"/>
      <c r="D2480"/>
      <c r="E2480"/>
      <c r="F2480"/>
      <c r="G2480" s="120"/>
      <c r="H2480" s="120"/>
      <c r="I2480"/>
    </row>
    <row r="2481" spans="1:9" ht="12.75">
      <c r="A2481"/>
      <c r="B2481"/>
      <c r="C2481"/>
      <c r="D2481"/>
      <c r="E2481"/>
      <c r="F2481"/>
      <c r="G2481" s="120"/>
      <c r="H2481" s="120"/>
      <c r="I2481"/>
    </row>
    <row r="2482" spans="1:9" ht="12.75">
      <c r="A2482"/>
      <c r="B2482"/>
      <c r="C2482"/>
      <c r="D2482"/>
      <c r="E2482"/>
      <c r="F2482"/>
      <c r="G2482" s="120"/>
      <c r="H2482" s="120"/>
      <c r="I2482"/>
    </row>
    <row r="2483" spans="1:9" ht="12.75">
      <c r="A2483"/>
      <c r="B2483"/>
      <c r="C2483"/>
      <c r="D2483"/>
      <c r="E2483"/>
      <c r="F2483"/>
      <c r="G2483" s="120"/>
      <c r="H2483" s="120"/>
      <c r="I2483"/>
    </row>
    <row r="2484" spans="1:9" ht="12.75">
      <c r="A2484"/>
      <c r="B2484"/>
      <c r="C2484"/>
      <c r="D2484"/>
      <c r="E2484"/>
      <c r="F2484"/>
      <c r="G2484" s="120"/>
      <c r="H2484" s="120"/>
      <c r="I2484"/>
    </row>
    <row r="2485" spans="1:9" ht="12.75">
      <c r="A2485"/>
      <c r="B2485"/>
      <c r="C2485"/>
      <c r="D2485"/>
      <c r="E2485"/>
      <c r="F2485"/>
      <c r="G2485" s="120"/>
      <c r="H2485" s="120"/>
      <c r="I2485"/>
    </row>
    <row r="2486" spans="1:9" ht="12.75">
      <c r="A2486"/>
      <c r="B2486"/>
      <c r="C2486"/>
      <c r="D2486"/>
      <c r="E2486"/>
      <c r="F2486"/>
      <c r="G2486" s="120"/>
      <c r="H2486" s="120"/>
      <c r="I2486"/>
    </row>
    <row r="2487" spans="1:9" ht="12.75">
      <c r="A2487"/>
      <c r="B2487"/>
      <c r="C2487"/>
      <c r="D2487"/>
      <c r="E2487"/>
      <c r="F2487"/>
      <c r="G2487" s="120"/>
      <c r="H2487" s="120"/>
      <c r="I2487"/>
    </row>
    <row r="2488" spans="1:9" ht="12.75">
      <c r="A2488"/>
      <c r="B2488"/>
      <c r="C2488"/>
      <c r="D2488"/>
      <c r="E2488"/>
      <c r="F2488"/>
      <c r="G2488" s="120"/>
      <c r="H2488" s="120"/>
      <c r="I2488"/>
    </row>
    <row r="2489" spans="1:9" ht="12.75">
      <c r="A2489"/>
      <c r="B2489"/>
      <c r="C2489"/>
      <c r="D2489"/>
      <c r="E2489"/>
      <c r="F2489"/>
      <c r="G2489" s="120"/>
      <c r="H2489" s="120"/>
      <c r="I2489"/>
    </row>
    <row r="2490" spans="1:9" ht="12.75">
      <c r="A2490"/>
      <c r="B2490"/>
      <c r="C2490"/>
      <c r="D2490"/>
      <c r="E2490"/>
      <c r="F2490"/>
      <c r="G2490" s="120"/>
      <c r="H2490" s="120"/>
      <c r="I2490"/>
    </row>
    <row r="2491" spans="1:9" ht="12.75">
      <c r="A2491"/>
      <c r="B2491"/>
      <c r="C2491"/>
      <c r="D2491"/>
      <c r="E2491"/>
      <c r="F2491"/>
      <c r="G2491" s="120"/>
      <c r="H2491" s="120"/>
      <c r="I2491"/>
    </row>
    <row r="2492" spans="1:9" ht="12.75">
      <c r="A2492"/>
      <c r="B2492"/>
      <c r="C2492"/>
      <c r="D2492"/>
      <c r="E2492"/>
      <c r="F2492"/>
      <c r="G2492" s="120"/>
      <c r="H2492" s="120"/>
      <c r="I2492"/>
    </row>
    <row r="2493" spans="1:9" ht="12.75">
      <c r="A2493"/>
      <c r="B2493"/>
      <c r="C2493"/>
      <c r="D2493"/>
      <c r="E2493"/>
      <c r="F2493"/>
      <c r="G2493" s="120"/>
      <c r="H2493" s="120"/>
      <c r="I2493"/>
    </row>
    <row r="2494" spans="1:9" ht="12.75">
      <c r="A2494"/>
      <c r="B2494"/>
      <c r="C2494"/>
      <c r="D2494"/>
      <c r="E2494"/>
      <c r="F2494"/>
      <c r="G2494" s="120"/>
      <c r="H2494" s="120"/>
      <c r="I2494"/>
    </row>
    <row r="2495" spans="1:9" ht="12.75">
      <c r="A2495"/>
      <c r="B2495"/>
      <c r="C2495"/>
      <c r="D2495"/>
      <c r="E2495"/>
      <c r="F2495"/>
      <c r="G2495" s="120"/>
      <c r="H2495" s="120"/>
      <c r="I2495"/>
    </row>
    <row r="2496" spans="1:9" ht="12.75">
      <c r="A2496"/>
      <c r="B2496"/>
      <c r="C2496"/>
      <c r="D2496"/>
      <c r="E2496"/>
      <c r="F2496"/>
      <c r="G2496" s="120"/>
      <c r="H2496" s="120"/>
      <c r="I2496"/>
    </row>
    <row r="2497" spans="1:9" ht="12.75">
      <c r="A2497"/>
      <c r="B2497"/>
      <c r="C2497"/>
      <c r="D2497"/>
      <c r="E2497"/>
      <c r="F2497"/>
      <c r="G2497" s="120"/>
      <c r="H2497" s="120"/>
      <c r="I2497"/>
    </row>
    <row r="2498" spans="1:9" ht="12.75">
      <c r="A2498"/>
      <c r="B2498"/>
      <c r="C2498"/>
      <c r="D2498"/>
      <c r="E2498"/>
      <c r="F2498"/>
      <c r="G2498" s="120"/>
      <c r="H2498" s="120"/>
      <c r="I2498"/>
    </row>
    <row r="2499" spans="1:9" ht="12.75">
      <c r="A2499"/>
      <c r="B2499"/>
      <c r="C2499"/>
      <c r="D2499"/>
      <c r="E2499"/>
      <c r="F2499"/>
      <c r="G2499" s="120"/>
      <c r="H2499" s="120"/>
      <c r="I2499"/>
    </row>
    <row r="2500" spans="1:9" ht="12.75">
      <c r="A2500"/>
      <c r="B2500"/>
      <c r="C2500"/>
      <c r="D2500"/>
      <c r="E2500"/>
      <c r="F2500"/>
      <c r="G2500" s="120"/>
      <c r="H2500" s="120"/>
      <c r="I2500"/>
    </row>
    <row r="2501" spans="1:9" ht="12.75">
      <c r="A2501"/>
      <c r="B2501"/>
      <c r="C2501"/>
      <c r="D2501"/>
      <c r="E2501"/>
      <c r="F2501"/>
      <c r="G2501" s="120"/>
      <c r="H2501" s="120"/>
      <c r="I2501"/>
    </row>
    <row r="2502" spans="1:9" ht="12.75">
      <c r="A2502"/>
      <c r="B2502"/>
      <c r="C2502"/>
      <c r="D2502"/>
      <c r="E2502"/>
      <c r="F2502"/>
      <c r="G2502" s="120"/>
      <c r="H2502" s="120"/>
      <c r="I2502"/>
    </row>
    <row r="2503" spans="1:9" ht="12.75">
      <c r="A2503"/>
      <c r="B2503"/>
      <c r="C2503"/>
      <c r="D2503"/>
      <c r="E2503"/>
      <c r="F2503"/>
      <c r="G2503" s="120"/>
      <c r="H2503" s="120"/>
      <c r="I2503"/>
    </row>
    <row r="2504" spans="1:9" ht="12.75">
      <c r="A2504"/>
      <c r="B2504"/>
      <c r="C2504"/>
      <c r="D2504"/>
      <c r="E2504"/>
      <c r="F2504"/>
      <c r="G2504" s="120"/>
      <c r="H2504" s="120"/>
      <c r="I2504"/>
    </row>
    <row r="2505" spans="1:9" ht="12.75">
      <c r="A2505"/>
      <c r="B2505"/>
      <c r="C2505"/>
      <c r="D2505"/>
      <c r="E2505"/>
      <c r="F2505"/>
      <c r="G2505" s="120"/>
      <c r="H2505" s="120"/>
      <c r="I2505"/>
    </row>
    <row r="2506" spans="1:9" ht="12.75">
      <c r="A2506"/>
      <c r="B2506"/>
      <c r="C2506"/>
      <c r="D2506"/>
      <c r="E2506"/>
      <c r="F2506"/>
      <c r="G2506" s="120"/>
      <c r="H2506" s="120"/>
      <c r="I2506"/>
    </row>
    <row r="2507" spans="1:9" ht="12.75">
      <c r="A2507"/>
      <c r="B2507"/>
      <c r="C2507"/>
      <c r="D2507"/>
      <c r="E2507"/>
      <c r="F2507"/>
      <c r="G2507" s="120"/>
      <c r="H2507" s="120"/>
      <c r="I2507"/>
    </row>
    <row r="2508" spans="1:9" ht="12.75">
      <c r="A2508"/>
      <c r="B2508"/>
      <c r="C2508"/>
      <c r="D2508"/>
      <c r="E2508"/>
      <c r="F2508"/>
      <c r="G2508" s="120"/>
      <c r="H2508" s="120"/>
      <c r="I2508"/>
    </row>
    <row r="2509" spans="1:9" ht="12.75">
      <c r="A2509"/>
      <c r="B2509"/>
      <c r="C2509"/>
      <c r="D2509"/>
      <c r="E2509"/>
      <c r="F2509"/>
      <c r="G2509" s="120"/>
      <c r="H2509" s="120"/>
      <c r="I2509"/>
    </row>
    <row r="2510" spans="1:9" ht="12.75">
      <c r="A2510"/>
      <c r="B2510"/>
      <c r="C2510"/>
      <c r="D2510"/>
      <c r="E2510"/>
      <c r="F2510"/>
      <c r="G2510" s="120"/>
      <c r="H2510" s="120"/>
      <c r="I2510"/>
    </row>
    <row r="2511" spans="1:9" ht="12.75">
      <c r="A2511"/>
      <c r="B2511"/>
      <c r="C2511"/>
      <c r="D2511"/>
      <c r="E2511"/>
      <c r="F2511"/>
      <c r="G2511" s="120"/>
      <c r="H2511" s="120"/>
      <c r="I2511"/>
    </row>
    <row r="2512" spans="1:9" ht="12.75">
      <c r="A2512"/>
      <c r="B2512"/>
      <c r="C2512"/>
      <c r="D2512"/>
      <c r="E2512"/>
      <c r="F2512"/>
      <c r="G2512" s="120"/>
      <c r="H2512" s="120"/>
      <c r="I2512"/>
    </row>
    <row r="2513" spans="1:9" ht="12.75">
      <c r="A2513"/>
      <c r="B2513"/>
      <c r="C2513"/>
      <c r="D2513"/>
      <c r="E2513"/>
      <c r="F2513"/>
      <c r="G2513" s="120"/>
      <c r="H2513" s="120"/>
      <c r="I2513"/>
    </row>
    <row r="2514" spans="1:9" ht="12.75">
      <c r="A2514"/>
      <c r="B2514"/>
      <c r="C2514"/>
      <c r="D2514"/>
      <c r="E2514"/>
      <c r="F2514"/>
      <c r="G2514" s="120"/>
      <c r="H2514" s="120"/>
      <c r="I2514"/>
    </row>
    <row r="2515" spans="1:9" ht="12.75">
      <c r="A2515"/>
      <c r="B2515"/>
      <c r="C2515"/>
      <c r="D2515"/>
      <c r="E2515"/>
      <c r="F2515"/>
      <c r="G2515" s="120"/>
      <c r="H2515" s="120"/>
      <c r="I2515"/>
    </row>
    <row r="2516" spans="1:9" ht="12.75">
      <c r="A2516"/>
      <c r="B2516"/>
      <c r="C2516"/>
      <c r="D2516"/>
      <c r="E2516"/>
      <c r="F2516"/>
      <c r="G2516" s="120"/>
      <c r="H2516" s="120"/>
      <c r="I2516"/>
    </row>
    <row r="2517" spans="1:9" ht="12.75">
      <c r="A2517"/>
      <c r="B2517"/>
      <c r="C2517"/>
      <c r="D2517"/>
      <c r="E2517"/>
      <c r="F2517"/>
      <c r="G2517" s="120"/>
      <c r="H2517" s="120"/>
      <c r="I2517"/>
    </row>
    <row r="2518" spans="1:9" ht="12.75">
      <c r="A2518"/>
      <c r="B2518"/>
      <c r="C2518"/>
      <c r="D2518"/>
      <c r="E2518"/>
      <c r="F2518"/>
      <c r="G2518" s="120"/>
      <c r="H2518" s="120"/>
      <c r="I2518"/>
    </row>
    <row r="2519" spans="1:9" ht="12.75">
      <c r="A2519"/>
      <c r="B2519"/>
      <c r="C2519"/>
      <c r="D2519"/>
      <c r="E2519"/>
      <c r="F2519"/>
      <c r="G2519" s="120"/>
      <c r="H2519" s="120"/>
      <c r="I2519"/>
    </row>
    <row r="2520" spans="1:9" ht="12.75">
      <c r="A2520"/>
      <c r="B2520"/>
      <c r="C2520"/>
      <c r="D2520"/>
      <c r="E2520"/>
      <c r="F2520"/>
      <c r="G2520" s="120"/>
      <c r="H2520" s="120"/>
      <c r="I2520"/>
    </row>
    <row r="2521" spans="1:9" ht="12.75">
      <c r="A2521"/>
      <c r="B2521"/>
      <c r="C2521"/>
      <c r="D2521"/>
      <c r="E2521"/>
      <c r="F2521"/>
      <c r="G2521" s="120"/>
      <c r="H2521" s="120"/>
      <c r="I2521"/>
    </row>
    <row r="2522" spans="1:9" ht="12.75">
      <c r="A2522"/>
      <c r="B2522"/>
      <c r="C2522"/>
      <c r="D2522"/>
      <c r="E2522"/>
      <c r="F2522"/>
      <c r="G2522" s="120"/>
      <c r="H2522" s="120"/>
      <c r="I2522"/>
    </row>
    <row r="2523" spans="1:9" ht="12.75">
      <c r="A2523"/>
      <c r="B2523"/>
      <c r="C2523"/>
      <c r="D2523"/>
      <c r="E2523"/>
      <c r="F2523"/>
      <c r="G2523" s="120"/>
      <c r="H2523" s="120"/>
      <c r="I2523"/>
    </row>
    <row r="2524" spans="1:9" ht="12.75">
      <c r="A2524"/>
      <c r="B2524"/>
      <c r="C2524"/>
      <c r="D2524"/>
      <c r="E2524"/>
      <c r="F2524"/>
      <c r="G2524" s="120"/>
      <c r="H2524" s="120"/>
      <c r="I2524"/>
    </row>
    <row r="2525" spans="1:9" ht="12.75">
      <c r="A2525"/>
      <c r="B2525"/>
      <c r="C2525"/>
      <c r="D2525"/>
      <c r="E2525"/>
      <c r="F2525"/>
      <c r="G2525" s="120"/>
      <c r="H2525" s="120"/>
      <c r="I2525"/>
    </row>
    <row r="2526" spans="1:9" ht="12.75">
      <c r="A2526"/>
      <c r="B2526"/>
      <c r="C2526"/>
      <c r="D2526"/>
      <c r="E2526"/>
      <c r="F2526"/>
      <c r="G2526" s="120"/>
      <c r="H2526" s="120"/>
      <c r="I2526"/>
    </row>
    <row r="2527" spans="1:9" ht="12.75">
      <c r="A2527"/>
      <c r="B2527"/>
      <c r="C2527"/>
      <c r="D2527"/>
      <c r="E2527"/>
      <c r="F2527"/>
      <c r="G2527" s="120"/>
      <c r="H2527" s="120"/>
      <c r="I2527"/>
    </row>
    <row r="2528" spans="1:9" ht="12.75">
      <c r="A2528"/>
      <c r="B2528"/>
      <c r="C2528"/>
      <c r="D2528"/>
      <c r="E2528"/>
      <c r="F2528"/>
      <c r="G2528" s="120"/>
      <c r="H2528" s="120"/>
      <c r="I2528"/>
    </row>
    <row r="2529" spans="1:9" ht="12.75">
      <c r="A2529"/>
      <c r="B2529"/>
      <c r="C2529"/>
      <c r="D2529"/>
      <c r="E2529"/>
      <c r="F2529"/>
      <c r="G2529" s="120"/>
      <c r="H2529" s="120"/>
      <c r="I2529"/>
    </row>
    <row r="2530" spans="1:9" ht="12.75">
      <c r="A2530"/>
      <c r="B2530"/>
      <c r="C2530"/>
      <c r="D2530"/>
      <c r="E2530"/>
      <c r="F2530"/>
      <c r="G2530" s="120"/>
      <c r="H2530" s="120"/>
      <c r="I2530"/>
    </row>
    <row r="2531" spans="1:9" ht="12.75">
      <c r="A2531"/>
      <c r="B2531"/>
      <c r="C2531"/>
      <c r="D2531"/>
      <c r="E2531"/>
      <c r="F2531"/>
      <c r="G2531" s="120"/>
      <c r="H2531" s="120"/>
      <c r="I2531"/>
    </row>
    <row r="2532" spans="1:9" ht="12.75">
      <c r="A2532"/>
      <c r="B2532"/>
      <c r="C2532"/>
      <c r="D2532"/>
      <c r="E2532"/>
      <c r="F2532"/>
      <c r="G2532" s="120"/>
      <c r="H2532" s="120"/>
      <c r="I2532"/>
    </row>
    <row r="2533" spans="1:9" ht="12.75">
      <c r="A2533"/>
      <c r="B2533"/>
      <c r="C2533"/>
      <c r="D2533"/>
      <c r="E2533"/>
      <c r="F2533"/>
      <c r="G2533" s="120"/>
      <c r="H2533" s="120"/>
      <c r="I2533"/>
    </row>
    <row r="2534" spans="1:9" ht="12.75">
      <c r="A2534"/>
      <c r="B2534"/>
      <c r="C2534"/>
      <c r="D2534"/>
      <c r="E2534"/>
      <c r="F2534"/>
      <c r="G2534" s="120"/>
      <c r="H2534" s="120"/>
      <c r="I2534"/>
    </row>
    <row r="2535" spans="1:9" ht="12.75">
      <c r="A2535"/>
      <c r="B2535"/>
      <c r="C2535"/>
      <c r="D2535"/>
      <c r="E2535"/>
      <c r="F2535"/>
      <c r="G2535" s="120"/>
      <c r="H2535" s="120"/>
      <c r="I2535"/>
    </row>
    <row r="2536" spans="1:9" ht="12.75">
      <c r="A2536"/>
      <c r="B2536"/>
      <c r="C2536"/>
      <c r="D2536"/>
      <c r="E2536"/>
      <c r="F2536"/>
      <c r="G2536" s="120"/>
      <c r="H2536" s="120"/>
      <c r="I2536"/>
    </row>
    <row r="2537" spans="1:9" ht="12.75">
      <c r="A2537"/>
      <c r="B2537"/>
      <c r="C2537"/>
      <c r="D2537"/>
      <c r="E2537"/>
      <c r="F2537"/>
      <c r="G2537" s="120"/>
      <c r="H2537" s="120"/>
      <c r="I2537"/>
    </row>
    <row r="2538" spans="1:9" ht="12.75">
      <c r="A2538"/>
      <c r="B2538"/>
      <c r="C2538"/>
      <c r="D2538"/>
      <c r="E2538"/>
      <c r="F2538"/>
      <c r="G2538" s="120"/>
      <c r="H2538" s="120"/>
      <c r="I2538"/>
    </row>
    <row r="2539" spans="1:9" ht="12.75">
      <c r="A2539"/>
      <c r="B2539"/>
      <c r="C2539"/>
      <c r="D2539"/>
      <c r="E2539"/>
      <c r="F2539"/>
      <c r="G2539" s="120"/>
      <c r="H2539" s="120"/>
      <c r="I2539"/>
    </row>
    <row r="2540" spans="1:9" ht="12.75">
      <c r="A2540"/>
      <c r="B2540"/>
      <c r="C2540"/>
      <c r="D2540"/>
      <c r="E2540"/>
      <c r="F2540"/>
      <c r="G2540" s="120"/>
      <c r="H2540" s="120"/>
      <c r="I2540"/>
    </row>
    <row r="2541" spans="1:9" ht="12.75">
      <c r="A2541"/>
      <c r="B2541"/>
      <c r="C2541"/>
      <c r="D2541"/>
      <c r="E2541"/>
      <c r="F2541"/>
      <c r="G2541" s="120"/>
      <c r="H2541" s="120"/>
      <c r="I2541"/>
    </row>
    <row r="2542" spans="1:9" ht="12.75">
      <c r="A2542"/>
      <c r="B2542"/>
      <c r="C2542"/>
      <c r="D2542"/>
      <c r="E2542"/>
      <c r="F2542"/>
      <c r="G2542" s="120"/>
      <c r="H2542" s="120"/>
      <c r="I2542"/>
    </row>
    <row r="2543" spans="1:9" ht="12.75">
      <c r="A2543"/>
      <c r="B2543"/>
      <c r="C2543"/>
      <c r="D2543"/>
      <c r="E2543"/>
      <c r="F2543"/>
      <c r="G2543" s="120"/>
      <c r="H2543" s="120"/>
      <c r="I2543"/>
    </row>
    <row r="2544" spans="1:9" ht="12.75">
      <c r="A2544"/>
      <c r="B2544"/>
      <c r="C2544"/>
      <c r="D2544"/>
      <c r="E2544"/>
      <c r="F2544"/>
      <c r="G2544" s="120"/>
      <c r="H2544" s="120"/>
      <c r="I2544"/>
    </row>
    <row r="2545" spans="1:9" ht="12.75">
      <c r="A2545"/>
      <c r="B2545"/>
      <c r="C2545"/>
      <c r="D2545"/>
      <c r="E2545"/>
      <c r="F2545"/>
      <c r="G2545" s="120"/>
      <c r="H2545" s="120"/>
      <c r="I2545"/>
    </row>
    <row r="2546" spans="1:9" ht="12.75">
      <c r="A2546"/>
      <c r="B2546"/>
      <c r="C2546"/>
      <c r="D2546"/>
      <c r="E2546"/>
      <c r="F2546"/>
      <c r="G2546" s="120"/>
      <c r="H2546" s="120"/>
      <c r="I2546"/>
    </row>
    <row r="2547" spans="1:9" ht="12.75">
      <c r="A2547"/>
      <c r="B2547"/>
      <c r="C2547"/>
      <c r="D2547"/>
      <c r="E2547"/>
      <c r="F2547"/>
      <c r="G2547" s="120"/>
      <c r="H2547" s="120"/>
      <c r="I2547"/>
    </row>
    <row r="2548" spans="1:9" ht="12.75">
      <c r="A2548"/>
      <c r="B2548"/>
      <c r="C2548"/>
      <c r="D2548"/>
      <c r="E2548"/>
      <c r="F2548"/>
      <c r="G2548" s="120"/>
      <c r="H2548" s="120"/>
      <c r="I2548"/>
    </row>
    <row r="2549" spans="1:9" ht="12.75">
      <c r="A2549"/>
      <c r="B2549"/>
      <c r="C2549"/>
      <c r="D2549"/>
      <c r="E2549"/>
      <c r="F2549"/>
      <c r="G2549" s="120"/>
      <c r="H2549" s="120"/>
      <c r="I2549"/>
    </row>
    <row r="2550" spans="1:9" ht="12.75">
      <c r="A2550"/>
      <c r="B2550"/>
      <c r="C2550"/>
      <c r="D2550"/>
      <c r="E2550"/>
      <c r="F2550"/>
      <c r="G2550" s="120"/>
      <c r="H2550" s="120"/>
      <c r="I2550"/>
    </row>
    <row r="2551" spans="1:9" ht="12.75">
      <c r="A2551"/>
      <c r="B2551"/>
      <c r="C2551"/>
      <c r="D2551"/>
      <c r="E2551"/>
      <c r="F2551"/>
      <c r="G2551" s="120"/>
      <c r="H2551" s="120"/>
      <c r="I2551"/>
    </row>
    <row r="2552" spans="1:9" ht="12.75">
      <c r="A2552"/>
      <c r="B2552"/>
      <c r="C2552"/>
      <c r="D2552"/>
      <c r="E2552"/>
      <c r="F2552"/>
      <c r="G2552" s="120"/>
      <c r="H2552" s="120"/>
      <c r="I2552"/>
    </row>
    <row r="2553" spans="1:9" ht="12.75">
      <c r="A2553"/>
      <c r="B2553"/>
      <c r="C2553"/>
      <c r="D2553"/>
      <c r="E2553"/>
      <c r="F2553"/>
      <c r="G2553" s="120"/>
      <c r="H2553" s="120"/>
      <c r="I2553"/>
    </row>
    <row r="2554" spans="1:9" ht="12.75">
      <c r="A2554"/>
      <c r="B2554"/>
      <c r="C2554"/>
      <c r="D2554"/>
      <c r="E2554"/>
      <c r="F2554"/>
      <c r="G2554" s="120"/>
      <c r="H2554" s="120"/>
      <c r="I2554"/>
    </row>
    <row r="2555" spans="1:9" ht="12.75">
      <c r="A2555"/>
      <c r="B2555"/>
      <c r="C2555"/>
      <c r="D2555"/>
      <c r="E2555"/>
      <c r="F2555"/>
      <c r="G2555" s="120"/>
      <c r="H2555" s="120"/>
      <c r="I2555"/>
    </row>
    <row r="2556" spans="1:9" ht="12.75">
      <c r="A2556"/>
      <c r="B2556"/>
      <c r="C2556"/>
      <c r="D2556"/>
      <c r="E2556"/>
      <c r="F2556"/>
      <c r="G2556" s="120"/>
      <c r="H2556" s="120"/>
      <c r="I2556"/>
    </row>
    <row r="2557" spans="1:9" ht="12.75">
      <c r="A2557"/>
      <c r="B2557"/>
      <c r="C2557"/>
      <c r="D2557"/>
      <c r="E2557"/>
      <c r="F2557"/>
      <c r="G2557" s="120"/>
      <c r="H2557" s="120"/>
      <c r="I2557"/>
    </row>
    <row r="2558" spans="1:9" ht="12.75">
      <c r="A2558"/>
      <c r="B2558"/>
      <c r="C2558"/>
      <c r="D2558"/>
      <c r="E2558"/>
      <c r="F2558"/>
      <c r="G2558" s="120"/>
      <c r="H2558" s="120"/>
      <c r="I2558"/>
    </row>
    <row r="2559" spans="1:9" ht="12.75">
      <c r="A2559"/>
      <c r="B2559"/>
      <c r="C2559"/>
      <c r="D2559"/>
      <c r="E2559"/>
      <c r="F2559"/>
      <c r="G2559" s="120"/>
      <c r="H2559" s="120"/>
      <c r="I2559"/>
    </row>
    <row r="2560" spans="1:9" ht="12.75">
      <c r="A2560"/>
      <c r="B2560"/>
      <c r="C2560"/>
      <c r="D2560"/>
      <c r="E2560"/>
      <c r="F2560"/>
      <c r="G2560" s="120"/>
      <c r="H2560" s="120"/>
      <c r="I2560"/>
    </row>
    <row r="2561" spans="1:9" ht="12.75">
      <c r="A2561"/>
      <c r="B2561"/>
      <c r="C2561"/>
      <c r="D2561"/>
      <c r="E2561"/>
      <c r="F2561"/>
      <c r="G2561" s="120"/>
      <c r="H2561" s="120"/>
      <c r="I2561"/>
    </row>
    <row r="2562" spans="1:9" ht="12.75">
      <c r="A2562"/>
      <c r="B2562"/>
      <c r="C2562"/>
      <c r="D2562"/>
      <c r="E2562"/>
      <c r="F2562"/>
      <c r="G2562" s="120"/>
      <c r="H2562" s="120"/>
      <c r="I2562"/>
    </row>
    <row r="2563" spans="1:9" ht="12.75">
      <c r="A2563"/>
      <c r="B2563"/>
      <c r="C2563"/>
      <c r="D2563"/>
      <c r="E2563"/>
      <c r="F2563"/>
      <c r="G2563" s="120"/>
      <c r="H2563" s="120"/>
      <c r="I2563"/>
    </row>
    <row r="2564" spans="1:9" ht="12.75">
      <c r="A2564"/>
      <c r="B2564"/>
      <c r="C2564"/>
      <c r="D2564"/>
      <c r="E2564"/>
      <c r="F2564"/>
      <c r="G2564" s="120"/>
      <c r="H2564" s="120"/>
      <c r="I2564"/>
    </row>
    <row r="2565" spans="1:9" ht="12.75">
      <c r="A2565"/>
      <c r="B2565"/>
      <c r="C2565"/>
      <c r="D2565"/>
      <c r="E2565"/>
      <c r="F2565"/>
      <c r="G2565" s="120"/>
      <c r="H2565" s="120"/>
      <c r="I2565"/>
    </row>
    <row r="2566" spans="1:9" ht="12.75">
      <c r="A2566"/>
      <c r="B2566"/>
      <c r="C2566"/>
      <c r="D2566"/>
      <c r="E2566"/>
      <c r="F2566"/>
      <c r="G2566" s="120"/>
      <c r="H2566" s="120"/>
      <c r="I2566"/>
    </row>
    <row r="2567" spans="1:9" ht="12.75">
      <c r="A2567"/>
      <c r="B2567"/>
      <c r="C2567"/>
      <c r="D2567"/>
      <c r="E2567"/>
      <c r="F2567"/>
      <c r="G2567" s="120"/>
      <c r="H2567" s="120"/>
      <c r="I2567"/>
    </row>
    <row r="2568" spans="1:9" ht="12.75">
      <c r="A2568"/>
      <c r="B2568"/>
      <c r="C2568"/>
      <c r="D2568"/>
      <c r="E2568"/>
      <c r="F2568"/>
      <c r="G2568" s="120"/>
      <c r="H2568" s="120"/>
      <c r="I2568"/>
    </row>
    <row r="2569" spans="1:9" ht="12.75">
      <c r="A2569"/>
      <c r="B2569"/>
      <c r="C2569"/>
      <c r="D2569"/>
      <c r="E2569"/>
      <c r="F2569"/>
      <c r="G2569" s="120"/>
      <c r="H2569" s="120"/>
      <c r="I2569"/>
    </row>
    <row r="2570" spans="1:9" ht="12.75">
      <c r="A2570"/>
      <c r="B2570"/>
      <c r="C2570"/>
      <c r="D2570"/>
      <c r="E2570"/>
      <c r="F2570"/>
      <c r="G2570" s="120"/>
      <c r="H2570" s="120"/>
      <c r="I2570"/>
    </row>
    <row r="2571" spans="1:9" ht="12.75">
      <c r="A2571"/>
      <c r="B2571"/>
      <c r="C2571"/>
      <c r="D2571"/>
      <c r="E2571"/>
      <c r="F2571"/>
      <c r="G2571" s="120"/>
      <c r="H2571" s="120"/>
      <c r="I2571"/>
    </row>
    <row r="2572" spans="1:9" ht="12.75">
      <c r="A2572"/>
      <c r="B2572"/>
      <c r="C2572"/>
      <c r="D2572"/>
      <c r="E2572"/>
      <c r="F2572"/>
      <c r="G2572" s="120"/>
      <c r="H2572" s="120"/>
      <c r="I2572"/>
    </row>
    <row r="2573" spans="1:9" ht="12.75">
      <c r="A2573"/>
      <c r="B2573"/>
      <c r="C2573"/>
      <c r="D2573"/>
      <c r="E2573"/>
      <c r="F2573"/>
      <c r="G2573" s="120"/>
      <c r="H2573" s="120"/>
      <c r="I2573"/>
    </row>
    <row r="2574" spans="1:9" ht="12.75">
      <c r="A2574"/>
      <c r="B2574"/>
      <c r="C2574"/>
      <c r="D2574"/>
      <c r="E2574"/>
      <c r="F2574"/>
      <c r="G2574" s="120"/>
      <c r="H2574" s="120"/>
      <c r="I2574"/>
    </row>
    <row r="2575" spans="1:9" ht="12.75">
      <c r="A2575"/>
      <c r="B2575"/>
      <c r="C2575"/>
      <c r="D2575"/>
      <c r="E2575"/>
      <c r="F2575"/>
      <c r="G2575" s="120"/>
      <c r="H2575" s="120"/>
      <c r="I2575"/>
    </row>
    <row r="2576" spans="1:9" ht="12.75">
      <c r="A2576"/>
      <c r="B2576"/>
      <c r="C2576"/>
      <c r="D2576"/>
      <c r="E2576"/>
      <c r="F2576"/>
      <c r="G2576" s="120"/>
      <c r="H2576" s="120"/>
      <c r="I2576"/>
    </row>
    <row r="2577" spans="1:9" ht="12.75">
      <c r="A2577"/>
      <c r="B2577"/>
      <c r="C2577"/>
      <c r="D2577"/>
      <c r="E2577"/>
      <c r="F2577"/>
      <c r="G2577" s="120"/>
      <c r="H2577" s="120"/>
      <c r="I2577"/>
    </row>
    <row r="2578" spans="1:9" ht="12.75">
      <c r="A2578"/>
      <c r="B2578"/>
      <c r="C2578"/>
      <c r="D2578"/>
      <c r="E2578"/>
      <c r="F2578"/>
      <c r="G2578" s="120"/>
      <c r="H2578" s="120"/>
      <c r="I2578"/>
    </row>
    <row r="2579" spans="1:9" ht="12.75">
      <c r="A2579"/>
      <c r="B2579"/>
      <c r="C2579"/>
      <c r="D2579"/>
      <c r="E2579"/>
      <c r="F2579"/>
      <c r="G2579" s="120"/>
      <c r="H2579" s="120"/>
      <c r="I2579"/>
    </row>
    <row r="2580" spans="1:9" ht="12.75">
      <c r="A2580"/>
      <c r="B2580"/>
      <c r="C2580"/>
      <c r="D2580"/>
      <c r="E2580"/>
      <c r="F2580"/>
      <c r="G2580" s="120"/>
      <c r="H2580" s="120"/>
      <c r="I2580"/>
    </row>
    <row r="2581" spans="1:9" ht="12.75">
      <c r="A2581"/>
      <c r="B2581"/>
      <c r="C2581"/>
      <c r="D2581"/>
      <c r="E2581"/>
      <c r="F2581"/>
      <c r="G2581" s="120"/>
      <c r="H2581" s="120"/>
      <c r="I2581"/>
    </row>
    <row r="2582" spans="1:9" ht="12.75">
      <c r="A2582"/>
      <c r="B2582"/>
      <c r="C2582"/>
      <c r="D2582"/>
      <c r="E2582"/>
      <c r="F2582"/>
      <c r="G2582" s="120"/>
      <c r="H2582" s="120"/>
      <c r="I2582"/>
    </row>
    <row r="2583" spans="1:9" ht="12.75">
      <c r="A2583"/>
      <c r="B2583"/>
      <c r="C2583"/>
      <c r="D2583"/>
      <c r="E2583"/>
      <c r="F2583"/>
      <c r="G2583" s="120"/>
      <c r="H2583" s="120"/>
      <c r="I2583"/>
    </row>
    <row r="2584" spans="1:9" ht="12.75">
      <c r="A2584"/>
      <c r="B2584"/>
      <c r="C2584"/>
      <c r="D2584"/>
      <c r="E2584"/>
      <c r="F2584"/>
      <c r="G2584" s="120"/>
      <c r="H2584" s="120"/>
      <c r="I2584"/>
    </row>
    <row r="2585" spans="1:9" ht="12.75">
      <c r="A2585"/>
      <c r="B2585"/>
      <c r="C2585"/>
      <c r="D2585"/>
      <c r="E2585"/>
      <c r="F2585"/>
      <c r="G2585" s="120"/>
      <c r="H2585" s="120"/>
      <c r="I2585"/>
    </row>
    <row r="2586" spans="1:9" ht="12.75">
      <c r="A2586"/>
      <c r="B2586"/>
      <c r="C2586"/>
      <c r="D2586"/>
      <c r="E2586"/>
      <c r="F2586"/>
      <c r="G2586" s="120"/>
      <c r="H2586" s="120"/>
      <c r="I2586"/>
    </row>
    <row r="2587" spans="1:9" ht="12.75">
      <c r="A2587"/>
      <c r="B2587"/>
      <c r="C2587"/>
      <c r="D2587"/>
      <c r="E2587"/>
      <c r="F2587"/>
      <c r="G2587" s="120"/>
      <c r="H2587" s="120"/>
      <c r="I2587"/>
    </row>
    <row r="2588" spans="1:9" ht="12.75">
      <c r="A2588"/>
      <c r="B2588"/>
      <c r="C2588"/>
      <c r="D2588"/>
      <c r="E2588"/>
      <c r="F2588"/>
      <c r="G2588" s="120"/>
      <c r="H2588" s="120"/>
      <c r="I2588"/>
    </row>
    <row r="2589" spans="1:9" ht="12.75">
      <c r="A2589"/>
      <c r="B2589"/>
      <c r="C2589"/>
      <c r="D2589"/>
      <c r="E2589"/>
      <c r="F2589"/>
      <c r="G2589" s="120"/>
      <c r="H2589" s="120"/>
      <c r="I2589"/>
    </row>
    <row r="2590" spans="1:9" ht="12.75">
      <c r="A2590"/>
      <c r="B2590"/>
      <c r="C2590"/>
      <c r="D2590"/>
      <c r="E2590"/>
      <c r="F2590"/>
      <c r="G2590" s="120"/>
      <c r="H2590" s="120"/>
      <c r="I2590"/>
    </row>
    <row r="2591" spans="1:9" ht="12.75">
      <c r="A2591"/>
      <c r="B2591"/>
      <c r="C2591"/>
      <c r="D2591"/>
      <c r="E2591"/>
      <c r="F2591"/>
      <c r="G2591" s="120"/>
      <c r="H2591" s="120"/>
      <c r="I2591"/>
    </row>
    <row r="2592" spans="1:9" ht="12.75">
      <c r="A2592"/>
      <c r="B2592"/>
      <c r="C2592"/>
      <c r="D2592"/>
      <c r="E2592"/>
      <c r="F2592"/>
      <c r="G2592" s="120"/>
      <c r="H2592" s="120"/>
      <c r="I2592"/>
    </row>
    <row r="2593" spans="1:9" ht="12.75">
      <c r="A2593"/>
      <c r="B2593"/>
      <c r="C2593"/>
      <c r="D2593"/>
      <c r="E2593"/>
      <c r="F2593"/>
      <c r="G2593" s="120"/>
      <c r="H2593" s="120"/>
      <c r="I2593"/>
    </row>
    <row r="2594" spans="1:9" ht="12.75">
      <c r="A2594"/>
      <c r="B2594"/>
      <c r="C2594"/>
      <c r="D2594"/>
      <c r="E2594"/>
      <c r="F2594"/>
      <c r="G2594" s="120"/>
      <c r="H2594" s="120"/>
      <c r="I2594"/>
    </row>
    <row r="2595" spans="1:9" ht="12.75">
      <c r="A2595"/>
      <c r="B2595"/>
      <c r="C2595"/>
      <c r="D2595"/>
      <c r="E2595"/>
      <c r="F2595"/>
      <c r="G2595" s="120"/>
      <c r="H2595" s="120"/>
      <c r="I2595"/>
    </row>
    <row r="2596" spans="1:9" ht="12.75">
      <c r="A2596"/>
      <c r="B2596"/>
      <c r="C2596"/>
      <c r="D2596"/>
      <c r="E2596"/>
      <c r="F2596"/>
      <c r="G2596" s="120"/>
      <c r="H2596" s="120"/>
      <c r="I2596"/>
    </row>
    <row r="2597" spans="1:9" ht="12.75">
      <c r="A2597"/>
      <c r="B2597"/>
      <c r="C2597"/>
      <c r="D2597"/>
      <c r="E2597"/>
      <c r="F2597"/>
      <c r="G2597" s="120"/>
      <c r="H2597" s="120"/>
      <c r="I2597"/>
    </row>
    <row r="2598" spans="1:9" ht="12.75">
      <c r="A2598"/>
      <c r="B2598"/>
      <c r="C2598"/>
      <c r="D2598"/>
      <c r="E2598"/>
      <c r="F2598"/>
      <c r="G2598" s="120"/>
      <c r="H2598" s="120"/>
      <c r="I2598"/>
    </row>
    <row r="2599" spans="1:9" ht="12.75">
      <c r="A2599"/>
      <c r="B2599"/>
      <c r="C2599"/>
      <c r="D2599"/>
      <c r="E2599"/>
      <c r="F2599"/>
      <c r="G2599" s="120"/>
      <c r="H2599" s="120"/>
      <c r="I2599"/>
    </row>
    <row r="2600" spans="1:9" ht="12.75">
      <c r="A2600"/>
      <c r="B2600"/>
      <c r="C2600"/>
      <c r="D2600"/>
      <c r="E2600"/>
      <c r="F2600"/>
      <c r="G2600" s="120"/>
      <c r="H2600" s="120"/>
      <c r="I2600"/>
    </row>
    <row r="2601" spans="1:9" ht="12.75">
      <c r="A2601"/>
      <c r="B2601"/>
      <c r="C2601"/>
      <c r="D2601"/>
      <c r="E2601"/>
      <c r="F2601"/>
      <c r="G2601" s="120"/>
      <c r="H2601" s="120"/>
      <c r="I2601"/>
    </row>
    <row r="2602" spans="1:9" ht="12.75">
      <c r="A2602"/>
      <c r="B2602"/>
      <c r="C2602"/>
      <c r="D2602"/>
      <c r="E2602"/>
      <c r="F2602"/>
      <c r="G2602" s="120"/>
      <c r="H2602" s="120"/>
      <c r="I2602"/>
    </row>
    <row r="2603" spans="1:9" ht="12.75">
      <c r="A2603"/>
      <c r="B2603"/>
      <c r="C2603"/>
      <c r="D2603"/>
      <c r="E2603"/>
      <c r="F2603"/>
      <c r="G2603" s="120"/>
      <c r="H2603" s="120"/>
      <c r="I2603"/>
    </row>
    <row r="2604" spans="1:9" ht="12.75">
      <c r="A2604"/>
      <c r="B2604"/>
      <c r="C2604"/>
      <c r="D2604"/>
      <c r="E2604"/>
      <c r="F2604"/>
      <c r="G2604" s="120"/>
      <c r="H2604" s="120"/>
      <c r="I2604"/>
    </row>
    <row r="2605" spans="1:9" ht="12.75">
      <c r="A2605"/>
      <c r="B2605"/>
      <c r="C2605"/>
      <c r="D2605"/>
      <c r="E2605"/>
      <c r="F2605"/>
      <c r="G2605" s="120"/>
      <c r="H2605" s="120"/>
      <c r="I2605"/>
    </row>
    <row r="2606" spans="1:9" ht="12.75">
      <c r="A2606"/>
      <c r="B2606"/>
      <c r="C2606"/>
      <c r="D2606"/>
      <c r="E2606"/>
      <c r="F2606"/>
      <c r="G2606" s="120"/>
      <c r="H2606" s="120"/>
      <c r="I2606"/>
    </row>
    <row r="2607" spans="1:9" ht="12.75">
      <c r="A2607"/>
      <c r="B2607"/>
      <c r="C2607"/>
      <c r="D2607"/>
      <c r="E2607"/>
      <c r="F2607"/>
      <c r="G2607" s="120"/>
      <c r="H2607" s="120"/>
      <c r="I2607"/>
    </row>
    <row r="2608" spans="1:9" ht="12.75">
      <c r="A2608"/>
      <c r="B2608"/>
      <c r="C2608"/>
      <c r="D2608"/>
      <c r="E2608"/>
      <c r="F2608"/>
      <c r="G2608" s="120"/>
      <c r="H2608" s="120"/>
      <c r="I2608"/>
    </row>
    <row r="2609" spans="1:9" ht="12.75">
      <c r="A2609"/>
      <c r="B2609"/>
      <c r="C2609"/>
      <c r="D2609"/>
      <c r="E2609"/>
      <c r="F2609"/>
      <c r="G2609" s="120"/>
      <c r="H2609" s="120"/>
      <c r="I2609"/>
    </row>
    <row r="2610" spans="1:9" ht="12.75">
      <c r="A2610"/>
      <c r="B2610"/>
      <c r="C2610"/>
      <c r="D2610"/>
      <c r="E2610"/>
      <c r="F2610"/>
      <c r="G2610" s="120"/>
      <c r="H2610" s="120"/>
      <c r="I2610"/>
    </row>
    <row r="2611" spans="1:9" ht="12.75">
      <c r="A2611"/>
      <c r="B2611"/>
      <c r="C2611"/>
      <c r="D2611"/>
      <c r="E2611"/>
      <c r="F2611"/>
      <c r="G2611" s="120"/>
      <c r="H2611" s="120"/>
      <c r="I2611"/>
    </row>
    <row r="2612" spans="1:9" ht="12.75">
      <c r="A2612"/>
      <c r="B2612"/>
      <c r="C2612"/>
      <c r="D2612"/>
      <c r="E2612"/>
      <c r="F2612"/>
      <c r="G2612" s="120"/>
      <c r="H2612" s="120"/>
      <c r="I2612"/>
    </row>
    <row r="2613" spans="1:9" ht="12.75">
      <c r="A2613"/>
      <c r="B2613"/>
      <c r="C2613"/>
      <c r="D2613"/>
      <c r="E2613"/>
      <c r="F2613"/>
      <c r="G2613" s="120"/>
      <c r="H2613" s="120"/>
      <c r="I2613"/>
    </row>
    <row r="2614" spans="1:9" ht="12.75">
      <c r="A2614"/>
      <c r="B2614"/>
      <c r="C2614"/>
      <c r="D2614"/>
      <c r="E2614"/>
      <c r="F2614"/>
      <c r="G2614" s="120"/>
      <c r="H2614" s="120"/>
      <c r="I2614"/>
    </row>
    <row r="2615" spans="1:9" ht="12.75">
      <c r="A2615"/>
      <c r="B2615"/>
      <c r="C2615"/>
      <c r="D2615"/>
      <c r="E2615"/>
      <c r="F2615"/>
      <c r="G2615" s="120"/>
      <c r="H2615" s="120"/>
      <c r="I2615"/>
    </row>
    <row r="2616" spans="1:9" ht="12.75">
      <c r="A2616"/>
      <c r="B2616"/>
      <c r="C2616"/>
      <c r="D2616"/>
      <c r="E2616"/>
      <c r="F2616"/>
      <c r="G2616" s="120"/>
      <c r="H2616" s="120"/>
      <c r="I2616"/>
    </row>
    <row r="2617" spans="1:9" ht="12.75">
      <c r="A2617"/>
      <c r="B2617"/>
      <c r="C2617"/>
      <c r="D2617"/>
      <c r="E2617"/>
      <c r="F2617"/>
      <c r="G2617" s="120"/>
      <c r="H2617" s="120"/>
      <c r="I2617"/>
    </row>
    <row r="2618" spans="1:9" ht="12.75">
      <c r="A2618"/>
      <c r="B2618"/>
      <c r="C2618"/>
      <c r="D2618"/>
      <c r="E2618"/>
      <c r="F2618"/>
      <c r="G2618" s="120"/>
      <c r="H2618" s="120"/>
      <c r="I2618"/>
    </row>
    <row r="2619" spans="1:9" ht="12.75">
      <c r="A2619"/>
      <c r="B2619"/>
      <c r="C2619"/>
      <c r="D2619"/>
      <c r="E2619"/>
      <c r="F2619"/>
      <c r="G2619" s="120"/>
      <c r="H2619" s="120"/>
      <c r="I2619"/>
    </row>
    <row r="2620" spans="1:9" ht="12.75">
      <c r="A2620"/>
      <c r="B2620"/>
      <c r="C2620"/>
      <c r="D2620"/>
      <c r="E2620"/>
      <c r="F2620"/>
      <c r="G2620" s="120"/>
      <c r="H2620" s="120"/>
      <c r="I2620"/>
    </row>
    <row r="2621" spans="1:9" ht="12.75">
      <c r="A2621"/>
      <c r="B2621"/>
      <c r="C2621"/>
      <c r="D2621"/>
      <c r="E2621"/>
      <c r="F2621"/>
      <c r="G2621" s="120"/>
      <c r="H2621" s="120"/>
      <c r="I2621"/>
    </row>
    <row r="2622" spans="1:9" ht="12.75">
      <c r="A2622"/>
      <c r="B2622"/>
      <c r="C2622"/>
      <c r="D2622"/>
      <c r="E2622"/>
      <c r="F2622"/>
      <c r="G2622" s="120"/>
      <c r="H2622" s="120"/>
      <c r="I2622"/>
    </row>
    <row r="2623" spans="1:9" ht="12.75">
      <c r="A2623"/>
      <c r="B2623"/>
      <c r="C2623"/>
      <c r="D2623"/>
      <c r="E2623"/>
      <c r="F2623"/>
      <c r="G2623" s="120"/>
      <c r="H2623" s="120"/>
      <c r="I2623"/>
    </row>
    <row r="2624" spans="1:9" ht="12.75">
      <c r="A2624"/>
      <c r="B2624"/>
      <c r="C2624"/>
      <c r="D2624"/>
      <c r="E2624"/>
      <c r="F2624"/>
      <c r="G2624" s="120"/>
      <c r="H2624" s="120"/>
      <c r="I2624"/>
    </row>
    <row r="2625" spans="1:9" ht="12.75">
      <c r="A2625"/>
      <c r="B2625"/>
      <c r="C2625"/>
      <c r="D2625"/>
      <c r="E2625"/>
      <c r="F2625"/>
      <c r="G2625" s="120"/>
      <c r="H2625" s="120"/>
      <c r="I2625"/>
    </row>
    <row r="2626" spans="1:9" ht="12.75">
      <c r="A2626"/>
      <c r="B2626"/>
      <c r="C2626"/>
      <c r="D2626"/>
      <c r="E2626"/>
      <c r="F2626"/>
      <c r="G2626" s="120"/>
      <c r="H2626" s="120"/>
      <c r="I2626"/>
    </row>
    <row r="2627" spans="1:9" ht="12.75">
      <c r="A2627"/>
      <c r="B2627"/>
      <c r="C2627"/>
      <c r="D2627"/>
      <c r="E2627"/>
      <c r="F2627"/>
      <c r="G2627" s="120"/>
      <c r="H2627" s="120"/>
      <c r="I2627"/>
    </row>
    <row r="2628" spans="1:9" ht="12.75">
      <c r="A2628"/>
      <c r="B2628"/>
      <c r="C2628"/>
      <c r="D2628"/>
      <c r="E2628"/>
      <c r="F2628"/>
      <c r="G2628" s="120"/>
      <c r="H2628" s="120"/>
      <c r="I2628"/>
    </row>
    <row r="2629" spans="1:9" ht="12.75">
      <c r="A2629"/>
      <c r="B2629"/>
      <c r="C2629"/>
      <c r="D2629"/>
      <c r="E2629"/>
      <c r="F2629"/>
      <c r="G2629" s="120"/>
      <c r="H2629" s="120"/>
      <c r="I2629"/>
    </row>
    <row r="2630" spans="1:9" ht="12.75">
      <c r="A2630"/>
      <c r="B2630"/>
      <c r="C2630"/>
      <c r="D2630"/>
      <c r="E2630"/>
      <c r="F2630"/>
      <c r="G2630" s="120"/>
      <c r="H2630" s="120"/>
      <c r="I2630"/>
    </row>
    <row r="2631" spans="1:9" ht="12.75">
      <c r="A2631"/>
      <c r="B2631"/>
      <c r="C2631"/>
      <c r="D2631"/>
      <c r="E2631"/>
      <c r="F2631"/>
      <c r="G2631" s="120"/>
      <c r="H2631" s="120"/>
      <c r="I2631"/>
    </row>
    <row r="2632" spans="1:9" ht="12.75">
      <c r="A2632"/>
      <c r="B2632"/>
      <c r="C2632"/>
      <c r="D2632"/>
      <c r="E2632"/>
      <c r="F2632"/>
      <c r="G2632" s="120"/>
      <c r="H2632" s="120"/>
      <c r="I2632"/>
    </row>
    <row r="2633" spans="1:9" ht="12.75">
      <c r="A2633"/>
      <c r="B2633"/>
      <c r="C2633"/>
      <c r="D2633"/>
      <c r="E2633"/>
      <c r="F2633"/>
      <c r="G2633" s="120"/>
      <c r="H2633" s="120"/>
      <c r="I2633"/>
    </row>
    <row r="2634" spans="1:9" ht="12.75">
      <c r="A2634"/>
      <c r="B2634"/>
      <c r="C2634"/>
      <c r="D2634"/>
      <c r="E2634"/>
      <c r="F2634"/>
      <c r="G2634" s="120"/>
      <c r="H2634" s="120"/>
      <c r="I2634"/>
    </row>
    <row r="2635" spans="1:9" ht="12.75">
      <c r="A2635"/>
      <c r="B2635"/>
      <c r="C2635"/>
      <c r="D2635"/>
      <c r="E2635"/>
      <c r="F2635"/>
      <c r="G2635" s="120"/>
      <c r="H2635" s="120"/>
      <c r="I2635"/>
    </row>
    <row r="2636" spans="1:9" ht="12.75">
      <c r="A2636"/>
      <c r="B2636"/>
      <c r="C2636"/>
      <c r="D2636"/>
      <c r="E2636"/>
      <c r="F2636"/>
      <c r="G2636" s="120"/>
      <c r="H2636" s="120"/>
      <c r="I2636"/>
    </row>
    <row r="2637" spans="1:9" ht="12.75">
      <c r="A2637"/>
      <c r="B2637"/>
      <c r="C2637"/>
      <c r="D2637"/>
      <c r="E2637"/>
      <c r="F2637"/>
      <c r="G2637" s="120"/>
      <c r="H2637" s="120"/>
      <c r="I2637"/>
    </row>
    <row r="2638" spans="1:9" ht="12.75">
      <c r="A2638"/>
      <c r="B2638"/>
      <c r="C2638"/>
      <c r="D2638"/>
      <c r="E2638"/>
      <c r="F2638"/>
      <c r="G2638" s="120"/>
      <c r="H2638" s="120"/>
      <c r="I2638"/>
    </row>
    <row r="2639" spans="1:9" ht="12.75">
      <c r="A2639"/>
      <c r="B2639"/>
      <c r="C2639"/>
      <c r="D2639"/>
      <c r="E2639"/>
      <c r="F2639"/>
      <c r="G2639" s="120"/>
      <c r="H2639" s="120"/>
      <c r="I2639"/>
    </row>
    <row r="2640" spans="1:9" ht="12.75">
      <c r="A2640"/>
      <c r="B2640"/>
      <c r="C2640"/>
      <c r="D2640"/>
      <c r="E2640"/>
      <c r="F2640"/>
      <c r="G2640" s="120"/>
      <c r="H2640" s="120"/>
      <c r="I2640"/>
    </row>
    <row r="2641" spans="1:9" ht="12.75">
      <c r="A2641"/>
      <c r="B2641"/>
      <c r="C2641"/>
      <c r="D2641"/>
      <c r="E2641"/>
      <c r="F2641"/>
      <c r="G2641" s="120"/>
      <c r="H2641" s="120"/>
      <c r="I2641"/>
    </row>
    <row r="2642" spans="1:9" ht="12.75">
      <c r="A2642"/>
      <c r="B2642"/>
      <c r="C2642"/>
      <c r="D2642"/>
      <c r="E2642"/>
      <c r="F2642"/>
      <c r="G2642" s="120"/>
      <c r="H2642" s="120"/>
      <c r="I2642"/>
    </row>
    <row r="2643" spans="1:9" ht="12.75">
      <c r="A2643"/>
      <c r="B2643"/>
      <c r="C2643"/>
      <c r="D2643"/>
      <c r="E2643"/>
      <c r="F2643"/>
      <c r="G2643" s="120"/>
      <c r="H2643" s="120"/>
      <c r="I2643"/>
    </row>
    <row r="2644" spans="1:9" ht="12.75">
      <c r="A2644"/>
      <c r="B2644"/>
      <c r="C2644"/>
      <c r="D2644"/>
      <c r="E2644"/>
      <c r="F2644"/>
      <c r="G2644" s="120"/>
      <c r="H2644" s="120"/>
      <c r="I2644"/>
    </row>
    <row r="2645" spans="1:9" ht="12.75">
      <c r="A2645"/>
      <c r="B2645"/>
      <c r="C2645"/>
      <c r="D2645"/>
      <c r="E2645"/>
      <c r="F2645"/>
      <c r="G2645" s="120"/>
      <c r="H2645" s="120"/>
      <c r="I2645"/>
    </row>
    <row r="2646" spans="1:9" ht="12.75">
      <c r="A2646"/>
      <c r="B2646"/>
      <c r="C2646"/>
      <c r="D2646"/>
      <c r="E2646"/>
      <c r="F2646"/>
      <c r="G2646" s="120"/>
      <c r="H2646" s="120"/>
      <c r="I2646"/>
    </row>
    <row r="2647" spans="1:9" ht="12.75">
      <c r="A2647"/>
      <c r="B2647"/>
      <c r="C2647"/>
      <c r="D2647"/>
      <c r="E2647"/>
      <c r="F2647"/>
      <c r="G2647" s="120"/>
      <c r="H2647" s="120"/>
      <c r="I2647"/>
    </row>
    <row r="2648" spans="1:9" ht="12.75">
      <c r="A2648"/>
      <c r="B2648"/>
      <c r="C2648"/>
      <c r="D2648"/>
      <c r="E2648"/>
      <c r="F2648"/>
      <c r="G2648" s="120"/>
      <c r="H2648" s="120"/>
      <c r="I2648"/>
    </row>
    <row r="2649" spans="1:9" ht="12.75">
      <c r="A2649"/>
      <c r="B2649"/>
      <c r="C2649"/>
      <c r="D2649"/>
      <c r="E2649"/>
      <c r="F2649"/>
      <c r="G2649" s="120"/>
      <c r="H2649" s="120"/>
      <c r="I2649"/>
    </row>
    <row r="2650" spans="1:9" ht="12.75">
      <c r="A2650"/>
      <c r="B2650"/>
      <c r="C2650"/>
      <c r="D2650"/>
      <c r="E2650"/>
      <c r="F2650"/>
      <c r="G2650" s="120"/>
      <c r="H2650" s="120"/>
      <c r="I2650"/>
    </row>
    <row r="2651" spans="1:9" ht="12.75">
      <c r="A2651"/>
      <c r="B2651"/>
      <c r="C2651"/>
      <c r="D2651"/>
      <c r="E2651"/>
      <c r="F2651"/>
      <c r="G2651" s="120"/>
      <c r="H2651" s="120"/>
      <c r="I2651"/>
    </row>
    <row r="2652" spans="1:9" ht="12.75">
      <c r="A2652"/>
      <c r="B2652"/>
      <c r="C2652"/>
      <c r="D2652"/>
      <c r="E2652"/>
      <c r="F2652"/>
      <c r="G2652" s="120"/>
      <c r="H2652" s="120"/>
      <c r="I2652"/>
    </row>
    <row r="2653" spans="1:9" ht="12.75">
      <c r="A2653"/>
      <c r="B2653"/>
      <c r="C2653"/>
      <c r="D2653"/>
      <c r="E2653"/>
      <c r="F2653"/>
      <c r="G2653" s="120"/>
      <c r="H2653" s="120"/>
      <c r="I2653"/>
    </row>
    <row r="2654" spans="1:9" ht="12.75">
      <c r="A2654"/>
      <c r="B2654"/>
      <c r="C2654"/>
      <c r="D2654"/>
      <c r="E2654"/>
      <c r="F2654"/>
      <c r="G2654" s="120"/>
      <c r="H2654" s="120"/>
      <c r="I2654"/>
    </row>
    <row r="2655" spans="1:9" ht="12.75">
      <c r="A2655"/>
      <c r="B2655"/>
      <c r="C2655"/>
      <c r="D2655"/>
      <c r="E2655"/>
      <c r="F2655"/>
      <c r="G2655" s="120"/>
      <c r="H2655" s="120"/>
      <c r="I2655"/>
    </row>
    <row r="2656" spans="1:9" ht="12.75">
      <c r="A2656"/>
      <c r="B2656"/>
      <c r="C2656"/>
      <c r="D2656"/>
      <c r="E2656"/>
      <c r="F2656"/>
      <c r="G2656" s="120"/>
      <c r="H2656" s="120"/>
      <c r="I2656"/>
    </row>
    <row r="2657" spans="1:9" ht="12.75">
      <c r="A2657"/>
      <c r="B2657"/>
      <c r="C2657"/>
      <c r="D2657"/>
      <c r="E2657"/>
      <c r="F2657"/>
      <c r="G2657" s="120"/>
      <c r="H2657" s="120"/>
      <c r="I2657"/>
    </row>
    <row r="2658" spans="1:9" ht="12.75">
      <c r="A2658"/>
      <c r="B2658"/>
      <c r="C2658"/>
      <c r="D2658"/>
      <c r="E2658"/>
      <c r="F2658"/>
      <c r="G2658" s="120"/>
      <c r="H2658" s="120"/>
      <c r="I2658"/>
    </row>
    <row r="2659" spans="1:9" ht="12.75">
      <c r="A2659"/>
      <c r="B2659"/>
      <c r="C2659"/>
      <c r="D2659"/>
      <c r="E2659"/>
      <c r="F2659"/>
      <c r="G2659" s="120"/>
      <c r="H2659" s="120"/>
      <c r="I2659"/>
    </row>
    <row r="2660" spans="1:9" ht="12.75">
      <c r="A2660"/>
      <c r="B2660"/>
      <c r="C2660"/>
      <c r="D2660"/>
      <c r="E2660"/>
      <c r="F2660"/>
      <c r="G2660" s="120"/>
      <c r="H2660" s="120"/>
      <c r="I2660"/>
    </row>
    <row r="2661" spans="1:9" ht="12.75">
      <c r="A2661"/>
      <c r="B2661"/>
      <c r="C2661"/>
      <c r="D2661"/>
      <c r="E2661"/>
      <c r="F2661"/>
      <c r="G2661" s="120"/>
      <c r="H2661" s="120"/>
      <c r="I2661"/>
    </row>
    <row r="2662" spans="1:9" ht="12.75">
      <c r="A2662"/>
      <c r="B2662"/>
      <c r="C2662"/>
      <c r="D2662"/>
      <c r="E2662"/>
      <c r="F2662"/>
      <c r="G2662" s="120"/>
      <c r="H2662" s="120"/>
      <c r="I2662"/>
    </row>
    <row r="2663" spans="1:9" ht="12.75">
      <c r="A2663"/>
      <c r="B2663"/>
      <c r="C2663"/>
      <c r="D2663"/>
      <c r="E2663"/>
      <c r="F2663"/>
      <c r="G2663" s="120"/>
      <c r="H2663" s="120"/>
      <c r="I2663"/>
    </row>
    <row r="2664" spans="1:9" ht="12.75">
      <c r="A2664"/>
      <c r="B2664"/>
      <c r="C2664"/>
      <c r="D2664"/>
      <c r="E2664"/>
      <c r="F2664"/>
      <c r="G2664" s="120"/>
      <c r="H2664" s="120"/>
      <c r="I2664"/>
    </row>
    <row r="2665" spans="1:9" ht="12.75">
      <c r="A2665"/>
      <c r="B2665"/>
      <c r="C2665"/>
      <c r="D2665"/>
      <c r="E2665"/>
      <c r="F2665"/>
      <c r="G2665" s="120"/>
      <c r="H2665" s="120"/>
      <c r="I2665"/>
    </row>
    <row r="2666" spans="1:9" ht="12.75">
      <c r="A2666"/>
      <c r="B2666"/>
      <c r="C2666"/>
      <c r="D2666"/>
      <c r="E2666"/>
      <c r="F2666"/>
      <c r="G2666" s="120"/>
      <c r="H2666" s="120"/>
      <c r="I2666"/>
    </row>
    <row r="2667" spans="1:9" ht="12.75">
      <c r="A2667"/>
      <c r="B2667"/>
      <c r="C2667"/>
      <c r="D2667"/>
      <c r="E2667"/>
      <c r="F2667"/>
      <c r="G2667" s="120"/>
      <c r="H2667" s="120"/>
      <c r="I2667"/>
    </row>
    <row r="2668" spans="1:9" ht="12.75">
      <c r="A2668"/>
      <c r="B2668"/>
      <c r="C2668"/>
      <c r="D2668"/>
      <c r="E2668"/>
      <c r="F2668"/>
      <c r="G2668" s="120"/>
      <c r="H2668" s="120"/>
      <c r="I2668"/>
    </row>
    <row r="2669" spans="1:9" ht="12.75">
      <c r="A2669"/>
      <c r="B2669"/>
      <c r="C2669"/>
      <c r="D2669"/>
      <c r="E2669"/>
      <c r="F2669"/>
      <c r="G2669" s="120"/>
      <c r="H2669" s="120"/>
      <c r="I2669"/>
    </row>
    <row r="2670" spans="1:9" ht="12.75">
      <c r="A2670"/>
      <c r="B2670"/>
      <c r="C2670"/>
      <c r="D2670"/>
      <c r="E2670"/>
      <c r="F2670"/>
      <c r="G2670" s="120"/>
      <c r="H2670" s="120"/>
      <c r="I2670"/>
    </row>
    <row r="2671" spans="1:9" ht="12.75">
      <c r="A2671"/>
      <c r="B2671"/>
      <c r="C2671"/>
      <c r="D2671"/>
      <c r="E2671"/>
      <c r="F2671"/>
      <c r="G2671" s="120"/>
      <c r="H2671" s="120"/>
      <c r="I2671"/>
    </row>
    <row r="2672" spans="1:9" ht="12.75">
      <c r="A2672"/>
      <c r="B2672"/>
      <c r="C2672"/>
      <c r="D2672"/>
      <c r="E2672"/>
      <c r="F2672"/>
      <c r="G2672" s="120"/>
      <c r="H2672" s="120"/>
      <c r="I2672"/>
    </row>
    <row r="2673" spans="1:9" ht="12.75">
      <c r="A2673"/>
      <c r="B2673"/>
      <c r="C2673"/>
      <c r="D2673"/>
      <c r="E2673"/>
      <c r="F2673"/>
      <c r="G2673" s="120"/>
      <c r="H2673" s="120"/>
      <c r="I2673"/>
    </row>
    <row r="2674" spans="1:9" ht="12.75">
      <c r="A2674"/>
      <c r="B2674"/>
      <c r="C2674"/>
      <c r="D2674"/>
      <c r="E2674"/>
      <c r="F2674"/>
      <c r="G2674" s="120"/>
      <c r="H2674" s="120"/>
      <c r="I2674"/>
    </row>
    <row r="2675" spans="1:9" ht="12.75">
      <c r="A2675"/>
      <c r="B2675"/>
      <c r="C2675"/>
      <c r="D2675"/>
      <c r="E2675"/>
      <c r="F2675"/>
      <c r="G2675" s="120"/>
      <c r="H2675" s="120"/>
      <c r="I2675"/>
    </row>
    <row r="2676" spans="1:9" ht="12.75">
      <c r="A2676"/>
      <c r="B2676"/>
      <c r="C2676"/>
      <c r="D2676"/>
      <c r="E2676"/>
      <c r="F2676"/>
      <c r="G2676" s="120"/>
      <c r="H2676" s="120"/>
      <c r="I2676"/>
    </row>
    <row r="2677" spans="1:9" ht="12.75">
      <c r="A2677"/>
      <c r="B2677"/>
      <c r="C2677"/>
      <c r="D2677"/>
      <c r="E2677"/>
      <c r="F2677"/>
      <c r="G2677" s="120"/>
      <c r="H2677" s="120"/>
      <c r="I2677"/>
    </row>
    <row r="2678" spans="1:9" ht="12.75">
      <c r="A2678"/>
      <c r="B2678"/>
      <c r="C2678"/>
      <c r="D2678"/>
      <c r="E2678"/>
      <c r="F2678"/>
      <c r="G2678" s="120"/>
      <c r="H2678" s="120"/>
      <c r="I2678"/>
    </row>
    <row r="2679" spans="1:9" ht="12.75">
      <c r="A2679"/>
      <c r="B2679"/>
      <c r="C2679"/>
      <c r="D2679"/>
      <c r="E2679"/>
      <c r="F2679"/>
      <c r="G2679" s="120"/>
      <c r="H2679" s="120"/>
      <c r="I2679"/>
    </row>
    <row r="2680" spans="1:9" ht="12.75">
      <c r="A2680"/>
      <c r="B2680"/>
      <c r="C2680"/>
      <c r="D2680"/>
      <c r="E2680"/>
      <c r="F2680"/>
      <c r="G2680" s="120"/>
      <c r="H2680" s="120"/>
      <c r="I2680"/>
    </row>
    <row r="2681" spans="1:9" ht="12.75">
      <c r="A2681"/>
      <c r="B2681"/>
      <c r="C2681"/>
      <c r="D2681"/>
      <c r="E2681"/>
      <c r="F2681"/>
      <c r="G2681" s="120"/>
      <c r="H2681" s="120"/>
      <c r="I2681"/>
    </row>
    <row r="2682" spans="1:9" ht="12.75">
      <c r="A2682"/>
      <c r="B2682"/>
      <c r="C2682"/>
      <c r="D2682"/>
      <c r="E2682"/>
      <c r="F2682"/>
      <c r="G2682" s="120"/>
      <c r="H2682" s="120"/>
      <c r="I2682"/>
    </row>
    <row r="2683" spans="1:9" ht="12.75">
      <c r="A2683"/>
      <c r="B2683"/>
      <c r="C2683"/>
      <c r="D2683"/>
      <c r="E2683"/>
      <c r="F2683"/>
      <c r="G2683" s="120"/>
      <c r="H2683" s="120"/>
      <c r="I2683"/>
    </row>
    <row r="2684" spans="1:9" ht="12.75">
      <c r="A2684"/>
      <c r="B2684"/>
      <c r="C2684"/>
      <c r="D2684"/>
      <c r="E2684"/>
      <c r="F2684"/>
      <c r="G2684" s="120"/>
      <c r="H2684" s="120"/>
      <c r="I2684"/>
    </row>
    <row r="2685" spans="1:9" ht="12.75">
      <c r="A2685"/>
      <c r="B2685"/>
      <c r="C2685"/>
      <c r="D2685"/>
      <c r="E2685"/>
      <c r="F2685"/>
      <c r="G2685" s="120"/>
      <c r="H2685" s="120"/>
      <c r="I2685"/>
    </row>
    <row r="2686" spans="1:9" ht="12.75">
      <c r="A2686"/>
      <c r="B2686"/>
      <c r="C2686"/>
      <c r="D2686"/>
      <c r="E2686"/>
      <c r="F2686"/>
      <c r="G2686" s="120"/>
      <c r="H2686" s="120"/>
      <c r="I2686"/>
    </row>
    <row r="2687" spans="1:9" ht="12.75">
      <c r="A2687"/>
      <c r="B2687"/>
      <c r="C2687"/>
      <c r="D2687"/>
      <c r="E2687"/>
      <c r="F2687"/>
      <c r="G2687" s="120"/>
      <c r="H2687" s="120"/>
      <c r="I2687"/>
    </row>
    <row r="2688" spans="1:9" ht="12.75">
      <c r="A2688"/>
      <c r="B2688"/>
      <c r="C2688"/>
      <c r="D2688"/>
      <c r="E2688"/>
      <c r="F2688"/>
      <c r="G2688" s="120"/>
      <c r="H2688" s="120"/>
      <c r="I2688"/>
    </row>
    <row r="2689" spans="1:9" ht="12.75">
      <c r="A2689"/>
      <c r="B2689"/>
      <c r="C2689"/>
      <c r="D2689"/>
      <c r="E2689"/>
      <c r="F2689"/>
      <c r="G2689" s="120"/>
      <c r="H2689" s="120"/>
      <c r="I2689"/>
    </row>
    <row r="2690" spans="1:9" ht="12.75">
      <c r="A2690"/>
      <c r="B2690"/>
      <c r="C2690"/>
      <c r="D2690"/>
      <c r="E2690"/>
      <c r="F2690"/>
      <c r="G2690" s="120"/>
      <c r="H2690" s="120"/>
      <c r="I2690"/>
    </row>
    <row r="2691" spans="1:9" ht="12.75">
      <c r="A2691"/>
      <c r="B2691"/>
      <c r="C2691"/>
      <c r="D2691"/>
      <c r="E2691"/>
      <c r="F2691"/>
      <c r="G2691" s="120"/>
      <c r="H2691" s="120"/>
      <c r="I2691"/>
    </row>
    <row r="2692" spans="1:9" ht="12.75">
      <c r="A2692"/>
      <c r="B2692"/>
      <c r="C2692"/>
      <c r="D2692"/>
      <c r="E2692"/>
      <c r="F2692"/>
      <c r="G2692" s="120"/>
      <c r="H2692" s="120"/>
      <c r="I2692"/>
    </row>
    <row r="2693" spans="1:9" ht="12.75">
      <c r="A2693"/>
      <c r="B2693"/>
      <c r="C2693"/>
      <c r="D2693"/>
      <c r="E2693"/>
      <c r="F2693"/>
      <c r="G2693" s="120"/>
      <c r="H2693" s="120"/>
      <c r="I2693"/>
    </row>
    <row r="2694" spans="1:9" ht="12.75">
      <c r="A2694"/>
      <c r="B2694"/>
      <c r="C2694"/>
      <c r="D2694"/>
      <c r="E2694"/>
      <c r="F2694"/>
      <c r="G2694" s="120"/>
      <c r="H2694" s="120"/>
      <c r="I2694"/>
    </row>
    <row r="2695" spans="1:9" ht="12.75">
      <c r="A2695"/>
      <c r="B2695"/>
      <c r="C2695"/>
      <c r="D2695"/>
      <c r="E2695"/>
      <c r="F2695"/>
      <c r="G2695" s="120"/>
      <c r="H2695" s="120"/>
      <c r="I2695"/>
    </row>
    <row r="2696" spans="1:9" ht="12.75">
      <c r="A2696"/>
      <c r="B2696"/>
      <c r="C2696"/>
      <c r="D2696"/>
      <c r="E2696"/>
      <c r="F2696"/>
      <c r="G2696" s="120"/>
      <c r="H2696" s="120"/>
      <c r="I2696"/>
    </row>
    <row r="2697" spans="1:9" ht="12.75">
      <c r="A2697"/>
      <c r="B2697"/>
      <c r="C2697"/>
      <c r="D2697"/>
      <c r="E2697"/>
      <c r="F2697"/>
      <c r="G2697" s="120"/>
      <c r="H2697" s="120"/>
      <c r="I2697"/>
    </row>
    <row r="2698" spans="1:9" ht="12.75">
      <c r="A2698"/>
      <c r="B2698"/>
      <c r="C2698"/>
      <c r="D2698"/>
      <c r="E2698"/>
      <c r="F2698"/>
      <c r="G2698" s="120"/>
      <c r="H2698" s="120"/>
      <c r="I2698"/>
    </row>
    <row r="2699" spans="1:9" ht="12.75">
      <c r="A2699"/>
      <c r="B2699"/>
      <c r="C2699"/>
      <c r="D2699"/>
      <c r="E2699"/>
      <c r="F2699"/>
      <c r="G2699" s="120"/>
      <c r="H2699" s="120"/>
      <c r="I2699"/>
    </row>
    <row r="2700" spans="1:9" ht="12.75">
      <c r="A2700"/>
      <c r="B2700"/>
      <c r="C2700"/>
      <c r="D2700"/>
      <c r="E2700"/>
      <c r="F2700"/>
      <c r="G2700" s="120"/>
      <c r="H2700" s="120"/>
      <c r="I2700"/>
    </row>
    <row r="2701" spans="1:9" ht="12.75">
      <c r="A2701"/>
      <c r="B2701"/>
      <c r="C2701"/>
      <c r="D2701"/>
      <c r="E2701"/>
      <c r="F2701"/>
      <c r="G2701" s="120"/>
      <c r="H2701" s="120"/>
      <c r="I2701"/>
    </row>
    <row r="2702" spans="1:9" ht="12.75">
      <c r="A2702"/>
      <c r="B2702"/>
      <c r="C2702"/>
      <c r="D2702"/>
      <c r="E2702"/>
      <c r="F2702"/>
      <c r="G2702" s="120"/>
      <c r="H2702" s="120"/>
      <c r="I2702"/>
    </row>
    <row r="2703" spans="1:9" ht="12.75">
      <c r="A2703"/>
      <c r="B2703"/>
      <c r="C2703"/>
      <c r="D2703"/>
      <c r="E2703"/>
      <c r="F2703"/>
      <c r="G2703" s="120"/>
      <c r="H2703" s="120"/>
      <c r="I2703"/>
    </row>
    <row r="2704" spans="1:9" ht="12.75">
      <c r="A2704"/>
      <c r="B2704"/>
      <c r="C2704"/>
      <c r="D2704"/>
      <c r="E2704"/>
      <c r="F2704"/>
      <c r="G2704" s="120"/>
      <c r="H2704" s="120"/>
      <c r="I2704"/>
    </row>
    <row r="2705" spans="1:9" ht="12.75">
      <c r="A2705"/>
      <c r="B2705"/>
      <c r="C2705"/>
      <c r="D2705"/>
      <c r="E2705"/>
      <c r="F2705"/>
      <c r="G2705" s="120"/>
      <c r="H2705" s="120"/>
      <c r="I2705"/>
    </row>
    <row r="2706" spans="1:9" ht="12.75">
      <c r="A2706"/>
      <c r="B2706"/>
      <c r="C2706"/>
      <c r="D2706"/>
      <c r="E2706"/>
      <c r="F2706"/>
      <c r="G2706" s="120"/>
      <c r="H2706" s="120"/>
      <c r="I2706"/>
    </row>
    <row r="2707" spans="1:9" ht="12.75">
      <c r="A2707"/>
      <c r="B2707"/>
      <c r="C2707"/>
      <c r="D2707"/>
      <c r="E2707"/>
      <c r="F2707"/>
      <c r="G2707" s="120"/>
      <c r="H2707" s="120"/>
      <c r="I2707"/>
    </row>
    <row r="2708" spans="1:9" ht="12.75">
      <c r="A2708"/>
      <c r="B2708"/>
      <c r="C2708"/>
      <c r="D2708"/>
      <c r="E2708"/>
      <c r="F2708"/>
      <c r="G2708" s="120"/>
      <c r="H2708" s="120"/>
      <c r="I2708"/>
    </row>
    <row r="2709" spans="1:9" ht="12.75">
      <c r="A2709"/>
      <c r="B2709"/>
      <c r="C2709"/>
      <c r="D2709"/>
      <c r="E2709"/>
      <c r="F2709"/>
      <c r="G2709" s="120"/>
      <c r="H2709" s="120"/>
      <c r="I2709"/>
    </row>
    <row r="2710" spans="1:9" ht="12.75">
      <c r="A2710"/>
      <c r="B2710"/>
      <c r="C2710"/>
      <c r="D2710"/>
      <c r="E2710"/>
      <c r="F2710"/>
      <c r="G2710" s="120"/>
      <c r="H2710" s="120"/>
      <c r="I2710"/>
    </row>
    <row r="2711" spans="1:9" ht="12.75">
      <c r="A2711"/>
      <c r="B2711"/>
      <c r="C2711"/>
      <c r="D2711"/>
      <c r="E2711"/>
      <c r="F2711"/>
      <c r="G2711" s="120"/>
      <c r="H2711" s="120"/>
      <c r="I2711"/>
    </row>
    <row r="2712" spans="1:9" ht="12.75">
      <c r="A2712"/>
      <c r="B2712"/>
      <c r="C2712"/>
      <c r="D2712"/>
      <c r="E2712"/>
      <c r="F2712"/>
      <c r="G2712" s="120"/>
      <c r="H2712" s="120"/>
      <c r="I2712"/>
    </row>
    <row r="2713" spans="1:9" ht="12.75">
      <c r="A2713"/>
      <c r="B2713"/>
      <c r="C2713"/>
      <c r="D2713"/>
      <c r="E2713"/>
      <c r="F2713"/>
      <c r="G2713" s="120"/>
      <c r="H2713" s="120"/>
      <c r="I2713"/>
    </row>
    <row r="2714" spans="1:9" ht="12.75">
      <c r="A2714"/>
      <c r="B2714"/>
      <c r="C2714"/>
      <c r="D2714"/>
      <c r="E2714"/>
      <c r="F2714"/>
      <c r="G2714" s="120"/>
      <c r="H2714" s="120"/>
      <c r="I2714"/>
    </row>
    <row r="2715" spans="1:9" ht="12.75">
      <c r="A2715"/>
      <c r="B2715"/>
      <c r="C2715"/>
      <c r="D2715"/>
      <c r="E2715"/>
      <c r="F2715"/>
      <c r="G2715" s="120"/>
      <c r="H2715" s="120"/>
      <c r="I2715"/>
    </row>
    <row r="2716" spans="1:9" ht="12.75">
      <c r="A2716"/>
      <c r="B2716"/>
      <c r="C2716"/>
      <c r="D2716"/>
      <c r="E2716"/>
      <c r="F2716"/>
      <c r="G2716" s="120"/>
      <c r="H2716" s="120"/>
      <c r="I2716"/>
    </row>
    <row r="2717" spans="1:9" ht="12.75">
      <c r="A2717"/>
      <c r="B2717"/>
      <c r="C2717"/>
      <c r="D2717"/>
      <c r="E2717"/>
      <c r="F2717"/>
      <c r="G2717" s="120"/>
      <c r="H2717" s="120"/>
      <c r="I2717"/>
    </row>
    <row r="2718" spans="1:9" ht="12.75">
      <c r="A2718"/>
      <c r="B2718"/>
      <c r="C2718"/>
      <c r="D2718"/>
      <c r="E2718"/>
      <c r="F2718"/>
      <c r="G2718" s="120"/>
      <c r="H2718" s="120"/>
      <c r="I2718"/>
    </row>
    <row r="2719" spans="1:9" ht="12.75">
      <c r="A2719"/>
      <c r="B2719"/>
      <c r="C2719"/>
      <c r="D2719"/>
      <c r="E2719"/>
      <c r="F2719"/>
      <c r="G2719" s="120"/>
      <c r="H2719" s="120"/>
      <c r="I2719"/>
    </row>
    <row r="2720" spans="1:9" ht="12.75">
      <c r="A2720"/>
      <c r="B2720"/>
      <c r="C2720"/>
      <c r="D2720"/>
      <c r="E2720"/>
      <c r="F2720"/>
      <c r="G2720" s="120"/>
      <c r="H2720" s="120"/>
      <c r="I2720"/>
    </row>
    <row r="2721" spans="1:9" ht="12.75">
      <c r="A2721"/>
      <c r="B2721"/>
      <c r="C2721"/>
      <c r="D2721"/>
      <c r="E2721"/>
      <c r="F2721"/>
      <c r="G2721" s="120"/>
      <c r="H2721" s="120"/>
      <c r="I2721"/>
    </row>
    <row r="2722" spans="1:9" ht="12.75">
      <c r="A2722"/>
      <c r="B2722"/>
      <c r="C2722"/>
      <c r="D2722"/>
      <c r="E2722"/>
      <c r="F2722"/>
      <c r="G2722" s="120"/>
      <c r="H2722" s="120"/>
      <c r="I2722"/>
    </row>
    <row r="2723" spans="1:9" ht="12.75">
      <c r="A2723"/>
      <c r="B2723"/>
      <c r="C2723"/>
      <c r="D2723"/>
      <c r="E2723"/>
      <c r="F2723"/>
      <c r="G2723" s="120"/>
      <c r="H2723" s="120"/>
      <c r="I2723"/>
    </row>
    <row r="2724" spans="1:9" ht="12.75">
      <c r="A2724"/>
      <c r="B2724"/>
      <c r="C2724"/>
      <c r="D2724"/>
      <c r="E2724"/>
      <c r="F2724"/>
      <c r="G2724" s="120"/>
      <c r="H2724" s="120"/>
      <c r="I2724"/>
    </row>
    <row r="2725" spans="1:9" ht="12.75">
      <c r="A2725"/>
      <c r="B2725"/>
      <c r="C2725"/>
      <c r="D2725"/>
      <c r="E2725"/>
      <c r="F2725"/>
      <c r="G2725" s="120"/>
      <c r="H2725" s="120"/>
      <c r="I2725"/>
    </row>
    <row r="2726" spans="1:9" ht="12.75">
      <c r="A2726"/>
      <c r="B2726"/>
      <c r="C2726"/>
      <c r="D2726"/>
      <c r="E2726"/>
      <c r="F2726"/>
      <c r="G2726" s="120"/>
      <c r="H2726" s="120"/>
      <c r="I2726"/>
    </row>
    <row r="2727" spans="1:9" ht="12.75">
      <c r="A2727"/>
      <c r="B2727"/>
      <c r="C2727"/>
      <c r="D2727"/>
      <c r="E2727"/>
      <c r="F2727"/>
      <c r="G2727" s="120"/>
      <c r="H2727" s="120"/>
      <c r="I2727"/>
    </row>
    <row r="2728" spans="1:9" ht="12.75">
      <c r="A2728"/>
      <c r="B2728"/>
      <c r="C2728"/>
      <c r="D2728"/>
      <c r="E2728"/>
      <c r="F2728"/>
      <c r="G2728" s="120"/>
      <c r="H2728" s="120"/>
      <c r="I2728"/>
    </row>
    <row r="2729" spans="1:9" ht="12.75">
      <c r="A2729"/>
      <c r="B2729"/>
      <c r="C2729"/>
      <c r="D2729"/>
      <c r="E2729"/>
      <c r="F2729"/>
      <c r="G2729" s="120"/>
      <c r="H2729" s="120"/>
      <c r="I2729"/>
    </row>
    <row r="2730" spans="1:9" ht="12.75">
      <c r="A2730"/>
      <c r="B2730"/>
      <c r="C2730"/>
      <c r="D2730"/>
      <c r="E2730"/>
      <c r="F2730"/>
      <c r="G2730" s="120"/>
      <c r="H2730" s="120"/>
      <c r="I2730"/>
    </row>
    <row r="2731" spans="1:9" ht="12.75">
      <c r="A2731"/>
      <c r="B2731"/>
      <c r="C2731"/>
      <c r="D2731"/>
      <c r="E2731"/>
      <c r="F2731"/>
      <c r="G2731" s="120"/>
      <c r="H2731" s="120"/>
      <c r="I2731"/>
    </row>
    <row r="2732" spans="1:9" ht="12.75">
      <c r="A2732"/>
      <c r="B2732"/>
      <c r="C2732"/>
      <c r="D2732"/>
      <c r="E2732"/>
      <c r="F2732"/>
      <c r="G2732" s="120"/>
      <c r="H2732" s="120"/>
      <c r="I2732"/>
    </row>
    <row r="2733" spans="1:9" ht="12.75">
      <c r="A2733"/>
      <c r="B2733"/>
      <c r="C2733"/>
      <c r="D2733"/>
      <c r="E2733"/>
      <c r="F2733"/>
      <c r="G2733" s="120"/>
      <c r="H2733" s="120"/>
      <c r="I2733"/>
    </row>
    <row r="2734" spans="1:9" ht="12.75">
      <c r="A2734"/>
      <c r="B2734"/>
      <c r="C2734"/>
      <c r="D2734"/>
      <c r="E2734"/>
      <c r="F2734"/>
      <c r="G2734" s="120"/>
      <c r="H2734" s="120"/>
      <c r="I2734"/>
    </row>
    <row r="2735" spans="1:9" ht="12.75">
      <c r="A2735"/>
      <c r="B2735"/>
      <c r="C2735"/>
      <c r="D2735"/>
      <c r="E2735"/>
      <c r="F2735"/>
      <c r="G2735" s="120"/>
      <c r="H2735" s="120"/>
      <c r="I2735"/>
    </row>
    <row r="2736" spans="1:9" ht="12.75">
      <c r="A2736"/>
      <c r="B2736"/>
      <c r="C2736"/>
      <c r="D2736"/>
      <c r="E2736"/>
      <c r="F2736"/>
      <c r="G2736" s="120"/>
      <c r="H2736" s="120"/>
      <c r="I2736"/>
    </row>
    <row r="2737" spans="1:9" ht="12.75">
      <c r="A2737"/>
      <c r="B2737"/>
      <c r="C2737"/>
      <c r="D2737"/>
      <c r="E2737"/>
      <c r="F2737"/>
      <c r="G2737" s="120"/>
      <c r="H2737" s="120"/>
      <c r="I2737"/>
    </row>
    <row r="2738" spans="1:9" ht="12.75">
      <c r="A2738"/>
      <c r="B2738"/>
      <c r="C2738"/>
      <c r="D2738"/>
      <c r="E2738"/>
      <c r="F2738"/>
      <c r="G2738" s="120"/>
      <c r="H2738" s="120"/>
      <c r="I2738"/>
    </row>
    <row r="2739" spans="1:9" ht="12.75">
      <c r="A2739"/>
      <c r="B2739"/>
      <c r="C2739"/>
      <c r="D2739"/>
      <c r="E2739"/>
      <c r="F2739"/>
      <c r="G2739" s="120"/>
      <c r="H2739" s="120"/>
      <c r="I2739"/>
    </row>
    <row r="2740" spans="1:9" ht="12.75">
      <c r="A2740"/>
      <c r="B2740"/>
      <c r="C2740"/>
      <c r="D2740"/>
      <c r="E2740"/>
      <c r="F2740"/>
      <c r="G2740" s="120"/>
      <c r="H2740" s="120"/>
      <c r="I2740"/>
    </row>
    <row r="2741" spans="1:9" ht="12.75">
      <c r="A2741"/>
      <c r="B2741"/>
      <c r="C2741"/>
      <c r="D2741"/>
      <c r="E2741"/>
      <c r="F2741"/>
      <c r="G2741" s="120"/>
      <c r="H2741" s="120"/>
      <c r="I2741"/>
    </row>
    <row r="2742" spans="1:9" ht="12.75">
      <c r="A2742"/>
      <c r="B2742"/>
      <c r="C2742"/>
      <c r="D2742"/>
      <c r="E2742"/>
      <c r="F2742"/>
      <c r="G2742" s="120"/>
      <c r="H2742" s="120"/>
      <c r="I2742"/>
    </row>
    <row r="2743" spans="1:9" ht="12.75">
      <c r="A2743"/>
      <c r="B2743"/>
      <c r="C2743"/>
      <c r="D2743"/>
      <c r="E2743"/>
      <c r="F2743"/>
      <c r="G2743" s="120"/>
      <c r="H2743" s="120"/>
      <c r="I2743"/>
    </row>
    <row r="2744" spans="1:9" ht="12.75">
      <c r="A2744"/>
      <c r="B2744"/>
      <c r="C2744"/>
      <c r="D2744"/>
      <c r="E2744"/>
      <c r="F2744"/>
      <c r="G2744" s="120"/>
      <c r="H2744" s="120"/>
      <c r="I2744"/>
    </row>
    <row r="2745" spans="1:9" ht="12.75">
      <c r="A2745"/>
      <c r="B2745"/>
      <c r="C2745"/>
      <c r="D2745"/>
      <c r="E2745"/>
      <c r="F2745"/>
      <c r="G2745" s="120"/>
      <c r="H2745" s="120"/>
      <c r="I2745"/>
    </row>
    <row r="2746" spans="1:9" ht="12.75">
      <c r="A2746"/>
      <c r="B2746"/>
      <c r="C2746"/>
      <c r="D2746"/>
      <c r="E2746"/>
      <c r="F2746"/>
      <c r="G2746" s="120"/>
      <c r="H2746" s="120"/>
      <c r="I2746"/>
    </row>
    <row r="2747" spans="1:9" ht="12.75">
      <c r="A2747"/>
      <c r="B2747"/>
      <c r="C2747"/>
      <c r="D2747"/>
      <c r="E2747"/>
      <c r="F2747"/>
      <c r="G2747" s="120"/>
      <c r="H2747" s="120"/>
      <c r="I2747"/>
    </row>
    <row r="2748" spans="1:9" ht="12.75">
      <c r="A2748"/>
      <c r="B2748"/>
      <c r="C2748"/>
      <c r="D2748"/>
      <c r="E2748"/>
      <c r="F2748"/>
      <c r="G2748" s="120"/>
      <c r="H2748" s="120"/>
      <c r="I2748"/>
    </row>
    <row r="2749" spans="1:9" ht="12.75">
      <c r="A2749"/>
      <c r="B2749"/>
      <c r="C2749"/>
      <c r="D2749"/>
      <c r="E2749"/>
      <c r="F2749"/>
      <c r="G2749" s="120"/>
      <c r="H2749" s="120"/>
      <c r="I2749"/>
    </row>
    <row r="2750" spans="1:9" ht="12.75">
      <c r="A2750"/>
      <c r="B2750"/>
      <c r="C2750"/>
      <c r="D2750"/>
      <c r="E2750"/>
      <c r="F2750"/>
      <c r="G2750" s="120"/>
      <c r="H2750" s="120"/>
      <c r="I2750"/>
    </row>
    <row r="2751" spans="1:9" ht="12.75">
      <c r="A2751"/>
      <c r="B2751"/>
      <c r="C2751"/>
      <c r="D2751"/>
      <c r="E2751"/>
      <c r="F2751"/>
      <c r="G2751" s="120"/>
      <c r="H2751" s="120"/>
      <c r="I2751"/>
    </row>
    <row r="2752" spans="1:9" ht="12.75">
      <c r="A2752"/>
      <c r="B2752"/>
      <c r="C2752"/>
      <c r="D2752"/>
      <c r="E2752"/>
      <c r="F2752"/>
      <c r="G2752" s="120"/>
      <c r="H2752" s="120"/>
      <c r="I2752"/>
    </row>
    <row r="2753" spans="1:9" ht="12.75">
      <c r="A2753"/>
      <c r="B2753"/>
      <c r="C2753"/>
      <c r="D2753"/>
      <c r="E2753"/>
      <c r="F2753"/>
      <c r="G2753" s="120"/>
      <c r="H2753" s="120"/>
      <c r="I2753"/>
    </row>
    <row r="2754" spans="1:9" ht="12.75">
      <c r="A2754"/>
      <c r="B2754"/>
      <c r="C2754"/>
      <c r="D2754"/>
      <c r="E2754"/>
      <c r="F2754"/>
      <c r="G2754" s="120"/>
      <c r="H2754" s="120"/>
      <c r="I2754"/>
    </row>
    <row r="2755" spans="1:9" ht="12.75">
      <c r="A2755"/>
      <c r="B2755"/>
      <c r="C2755"/>
      <c r="D2755"/>
      <c r="E2755"/>
      <c r="F2755"/>
      <c r="G2755" s="120"/>
      <c r="H2755" s="120"/>
      <c r="I2755"/>
    </row>
    <row r="2756" spans="1:9" ht="12.75">
      <c r="A2756"/>
      <c r="B2756"/>
      <c r="C2756"/>
      <c r="D2756"/>
      <c r="E2756"/>
      <c r="F2756"/>
      <c r="G2756" s="120"/>
      <c r="H2756" s="120"/>
      <c r="I2756"/>
    </row>
    <row r="2757" spans="1:9" ht="12.75">
      <c r="A2757"/>
      <c r="B2757"/>
      <c r="C2757"/>
      <c r="D2757"/>
      <c r="E2757"/>
      <c r="F2757"/>
      <c r="G2757" s="120"/>
      <c r="H2757" s="120"/>
      <c r="I2757"/>
    </row>
    <row r="2758" spans="1:9" ht="12.75">
      <c r="A2758"/>
      <c r="B2758"/>
      <c r="C2758"/>
      <c r="D2758"/>
      <c r="E2758"/>
      <c r="F2758"/>
      <c r="G2758" s="120"/>
      <c r="H2758" s="120"/>
      <c r="I2758"/>
    </row>
    <row r="2759" spans="1:9" ht="12.75">
      <c r="A2759"/>
      <c r="B2759"/>
      <c r="C2759"/>
      <c r="D2759"/>
      <c r="E2759"/>
      <c r="F2759"/>
      <c r="G2759" s="120"/>
      <c r="H2759" s="120"/>
      <c r="I2759"/>
    </row>
    <row r="2760" spans="1:9" ht="12.75">
      <c r="A2760"/>
      <c r="B2760"/>
      <c r="C2760"/>
      <c r="D2760"/>
      <c r="E2760"/>
      <c r="F2760"/>
      <c r="G2760" s="120"/>
      <c r="H2760" s="120"/>
      <c r="I2760"/>
    </row>
    <row r="2761" spans="1:9" ht="12.75">
      <c r="A2761"/>
      <c r="B2761"/>
      <c r="C2761"/>
      <c r="D2761"/>
      <c r="E2761"/>
      <c r="F2761"/>
      <c r="G2761" s="120"/>
      <c r="H2761" s="120"/>
      <c r="I2761"/>
    </row>
    <row r="2762" spans="1:9" ht="12.75">
      <c r="A2762"/>
      <c r="B2762"/>
      <c r="C2762"/>
      <c r="D2762"/>
      <c r="E2762"/>
      <c r="F2762"/>
      <c r="G2762" s="120"/>
      <c r="H2762" s="120"/>
      <c r="I2762"/>
    </row>
    <row r="2763" spans="1:9" ht="12.75">
      <c r="A2763"/>
      <c r="B2763"/>
      <c r="C2763"/>
      <c r="D2763"/>
      <c r="E2763"/>
      <c r="F2763"/>
      <c r="G2763" s="120"/>
      <c r="H2763" s="120"/>
      <c r="I2763"/>
    </row>
    <row r="2764" spans="1:9" ht="12.75">
      <c r="A2764"/>
      <c r="B2764"/>
      <c r="C2764"/>
      <c r="D2764"/>
      <c r="E2764"/>
      <c r="F2764"/>
      <c r="G2764" s="120"/>
      <c r="H2764" s="120"/>
      <c r="I2764"/>
    </row>
    <row r="2765" spans="1:9" ht="12.75">
      <c r="A2765"/>
      <c r="B2765"/>
      <c r="C2765"/>
      <c r="D2765"/>
      <c r="E2765"/>
      <c r="F2765"/>
      <c r="H2765" s="120"/>
      <c r="I2765"/>
    </row>
  </sheetData>
  <sheetProtection/>
  <mergeCells count="5">
    <mergeCell ref="A10:F10"/>
    <mergeCell ref="E914:F914"/>
    <mergeCell ref="H4:I4"/>
    <mergeCell ref="H5:I5"/>
    <mergeCell ref="H6:I6"/>
  </mergeCells>
  <printOptions/>
  <pageMargins left="0.984251968503937" right="0.15748031496062992" top="0.15748031496062992" bottom="0.15748031496062992" header="0.15748031496062992" footer="0.1574803149606299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2024-01-29T08:32:49Z</cp:lastPrinted>
  <dcterms:created xsi:type="dcterms:W3CDTF">1996-10-08T23:32:33Z</dcterms:created>
  <dcterms:modified xsi:type="dcterms:W3CDTF">2024-01-30T03:27:01Z</dcterms:modified>
  <cp:category/>
  <cp:version/>
  <cp:contentType/>
  <cp:contentStatus/>
</cp:coreProperties>
</file>